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drawings/drawing6.xml" ContentType="application/vnd.openxmlformats-officedocument.drawing+xml"/>
  <Override PartName="/xl/charts/chart8.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Projects\knxb\doc\1_Application\hw\3_Develop\App_Notes\Efficiency_Calculator_O1C\"/>
    </mc:Choice>
  </mc:AlternateContent>
  <workbookProtection workbookAlgorithmName="SHA-512" workbookHashValue="N8by4Kf2cEvz67WfyIHqj9unmkRArLTsetQByY7RUEzGhUU9a20B/hd4O3Qix9SdgpjmMaCPuNKKSBSAA872cA==" workbookSaltValue="7e1k5SMe5KOWB9S8qTVAvA==" workbookSpinCount="100000" lockStructure="1"/>
  <bookViews>
    <workbookView xWindow="0" yWindow="480" windowWidth="2196" windowHeight="1116" activeTab="1"/>
  </bookViews>
  <sheets>
    <sheet name="Manual" sheetId="19" r:id="rId1"/>
    <sheet name="Basic" sheetId="15" r:id="rId2"/>
    <sheet name="Input_Manual" sheetId="16" r:id="rId3"/>
    <sheet name="BoM" sheetId="18" r:id="rId4"/>
    <sheet name="EIA Tables" sheetId="20" state="hidden" r:id="rId5"/>
    <sheet name="Fanin" sheetId="17" state="hidden" r:id="rId6"/>
    <sheet name="Overall efficiency" sheetId="6" state="hidden" r:id="rId7"/>
    <sheet name="Overall efficiency (2)" sheetId="21" state="hidden" r:id="rId8"/>
    <sheet name="KNX Dissipation" sheetId="7" state="hidden" r:id="rId9"/>
    <sheet name="KNXB Current Capabilities" sheetId="11" state="hidden" r:id="rId10"/>
    <sheet name="KNXB Self Consumption" sheetId="12" state="hidden" r:id="rId11"/>
    <sheet name="KNXB Bus Coupler Drop" sheetId="13" state="hidden" r:id="rId12"/>
    <sheet name="KNXB Self Heating" sheetId="14" state="hidden" r:id="rId13"/>
    <sheet name="C4" sheetId="22" state="hidden" r:id="rId14"/>
  </sheets>
  <functionGroups builtInGroupCount="18"/>
  <externalReferences>
    <externalReference r:id="rId15"/>
  </externalReferences>
  <definedNames>
    <definedName name="_C2">'Overall efficiency'!#REF!</definedName>
    <definedName name="_C4">'C4'!$C$4</definedName>
    <definedName name="_C7">'C4'!$C$5</definedName>
    <definedName name="_DC2">Basic!$C$21</definedName>
    <definedName name="_L1">Basic!$C$19</definedName>
    <definedName name="_L2">Basic!$C$26</definedName>
    <definedName name="_NCN5110">'Overall efficiency'!$K$62</definedName>
    <definedName name="_NCN5121">'Overall efficiency'!$K$63</definedName>
    <definedName name="_NCN5130">'Overall efficiency'!$K$64</definedName>
    <definedName name="_R2">Basic!$C$18</definedName>
    <definedName name="_R3">Basic!$C$25</definedName>
    <definedName name="_R4">Basic!$C$45</definedName>
    <definedName name="_R4_Computed">Fanin!#REF!</definedName>
    <definedName name="_R4_Real">Fanin!$O$11</definedName>
    <definedName name="_R5">Basic!$C$46</definedName>
    <definedName name="_Vdd2">Basic!$C$22</definedName>
    <definedName name="_XClkC">Basic!$C$32</definedName>
    <definedName name="Communication">Input_Manual!$A$6:$B$7</definedName>
    <definedName name="Communication___of__0">Input_Manual!$A$11:$B$12</definedName>
    <definedName name="Component">'Overall efficiency'!$J$72</definedName>
    <definedName name="Coupler_Drop">Basic!$C$47</definedName>
    <definedName name="Current_Limit_Code">Input_Manual!$B$87</definedName>
    <definedName name="Current_slew_rate">Input_Manual!$B$126</definedName>
    <definedName name="CurrentSlewRate">Input_Manual!$A$125:$B$126</definedName>
    <definedName name="DC1_Inductor_Resistance">Input_Manual!$A$36:$B$37</definedName>
    <definedName name="DC1_Inductor_Value">Input_Manual!$A$31:$B$32</definedName>
    <definedName name="DC1_Load">Input_Manual!$A$21:$B$22</definedName>
    <definedName name="DC1_Sense_Resistor">Input_Manual!$A$26:$B$27</definedName>
    <definedName name="DC2_Enable">Input_Manual!$A$41:$B$42</definedName>
    <definedName name="DC2_Inductor_Resistance">Input_Manual!$A$71:$B$72</definedName>
    <definedName name="DC2_Inductor_Value">Input_Manual!$A$66:$B$67</definedName>
    <definedName name="DC2_Load">Input_Manual!$A$56:$B$57</definedName>
    <definedName name="DC2_Sense_Resistor">Input_Manual!$A$61:$B$62</definedName>
    <definedName name="DC2_Tolerance">Input_Manual!$A$51:$B$52</definedName>
    <definedName name="DC2_Voltage">Input_Manual!$A$46:$B$47</definedName>
    <definedName name="DC2ResSerie">Basic!$C$23</definedName>
    <definedName name="DIstep">'C4'!$C$17</definedName>
    <definedName name="Fan_in_resistor">Basic!$C$16</definedName>
    <definedName name="Fanin_NCN5121">Fanin!$B$3:$B$4</definedName>
    <definedName name="fanin_resistor">Input_Manual!$A$16:$B$17</definedName>
    <definedName name="FaninResistor">Fanin!$B$3:$B$191</definedName>
    <definedName name="FaninTable">Fanin!$B$2:$C$191</definedName>
    <definedName name="FaninValue">Fanin!$C$3:$C$191</definedName>
    <definedName name="Graphs">Input_Manual!$A$111:$B$112</definedName>
    <definedName name="Ibus_current_step">Input_Manual!$A$120:$B$121</definedName>
    <definedName name="Ibus_lim">Basic!$C$39</definedName>
    <definedName name="Ibus_lim_startup">Basic!$C$38</definedName>
    <definedName name="IBUS_max">Input_Manual!$A$16:$B$17</definedName>
    <definedName name="IfTable">Table2[]</definedName>
    <definedName name="IfType">Table2[IfType]</definedName>
    <definedName name="Image1">"Picture 7"</definedName>
    <definedName name="Image2">"Picture 9"</definedName>
    <definedName name="Inductor_Resistance">[1]Input_Manual!#REF!</definedName>
    <definedName name="Inductor_Value">[1]Input_Manual!#REF!</definedName>
    <definedName name="Interface">Input_Manual!$A$101:$B$102</definedName>
    <definedName name="Islope">'C4'!$C$18</definedName>
    <definedName name="KNX_Bus_Voltage">Basic!$C$13</definedName>
    <definedName name="Mantis">Fanin!$O$10</definedName>
    <definedName name="Output">Input_Manual!$A$106:$B$107</definedName>
    <definedName name="Real_DC2">Basic!$C$44</definedName>
    <definedName name="ResistorSeries">Fanin!$N$3:$N$7</definedName>
    <definedName name="Standby_Time">Input_Manual!$A$135:$B$136</definedName>
    <definedName name="Storage_and_Filter_capacitor">Input_Manual!$A$111:$B$115</definedName>
    <definedName name="StorageAndFilterCap">Input_Manual!$A$111:$B$115</definedName>
    <definedName name="System_startup_time">'C4'!$C$13</definedName>
    <definedName name="uC_Clock_Output">Input_Manual!$A$96:$B$97</definedName>
    <definedName name="uCIf">BoM!$D$74</definedName>
    <definedName name="V20V">Basic!$C$28</definedName>
    <definedName name="V20V_current_limit">Basic!$C$40</definedName>
    <definedName name="V20V_Enable">Input_Manual!$A$76:$B$77</definedName>
    <definedName name="V20V_Load">Input_Manual!$A$81:$B$82</definedName>
    <definedName name="Variation_of_Vfilt">Input_Manual!$A$130:$B$131</definedName>
    <definedName name="VBUS_Validation">Fanin!$N$19:$N$29</definedName>
    <definedName name="VBUS1_Voltage">Input_Manual!$A$1:$B$2</definedName>
    <definedName name="Vdd2_Real">Fanin!$O$13</definedName>
    <definedName name="Vfilt_voltage">'Overall efficiency'!$I$48</definedName>
    <definedName name="XClkC">Basic!$C$32</definedName>
    <definedName name="Xtal">Basic!$C$31</definedName>
    <definedName name="Xtal_Enabled">Input_Manual!$A$91:$B$92</definedName>
  </definedNames>
  <calcPr calcId="152511"/>
</workbook>
</file>

<file path=xl/calcChain.xml><?xml version="1.0" encoding="utf-8"?>
<calcChain xmlns="http://schemas.openxmlformats.org/spreadsheetml/2006/main">
  <c r="P60" i="18" l="1"/>
  <c r="Q60" i="18"/>
  <c r="P59" i="18"/>
  <c r="Q59" i="18"/>
  <c r="P55" i="18"/>
  <c r="Q55" i="18"/>
  <c r="P54" i="18"/>
  <c r="Q54" i="18"/>
  <c r="C50" i="7" l="1"/>
  <c r="F50" i="7"/>
  <c r="C46" i="7"/>
  <c r="C44" i="7"/>
  <c r="F44" i="7"/>
  <c r="D53" i="7"/>
  <c r="B15" i="6"/>
  <c r="B16" i="6" s="1"/>
  <c r="B3" i="7" s="1"/>
  <c r="B14" i="6"/>
  <c r="B6" i="7" s="1"/>
  <c r="C36" i="7" s="1"/>
  <c r="B13" i="6"/>
  <c r="B7" i="7" s="1"/>
  <c r="D25" i="7" s="1"/>
  <c r="B11" i="6"/>
  <c r="B8" i="6"/>
  <c r="B7" i="6"/>
  <c r="B6" i="6"/>
  <c r="B5" i="6"/>
  <c r="B3" i="6"/>
  <c r="B2" i="6"/>
  <c r="B1" i="7" s="1"/>
  <c r="B35" i="7" s="1"/>
  <c r="B15" i="21"/>
  <c r="B16" i="21" s="1"/>
  <c r="B14" i="21"/>
  <c r="B13" i="21"/>
  <c r="B11" i="21"/>
  <c r="B8" i="21"/>
  <c r="B7" i="21"/>
  <c r="B6" i="21"/>
  <c r="B5" i="21"/>
  <c r="B2" i="21"/>
  <c r="A39" i="15"/>
  <c r="B5" i="7" l="1"/>
  <c r="C52" i="7" s="1"/>
  <c r="B4" i="6"/>
  <c r="D36" i="7"/>
  <c r="D52" i="7" l="1"/>
  <c r="D37" i="7"/>
  <c r="E48" i="7"/>
  <c r="E47" i="7"/>
  <c r="D51" i="7"/>
  <c r="D47" i="7"/>
  <c r="I191" i="17"/>
  <c r="H191" i="17"/>
  <c r="I190" i="17"/>
  <c r="H190" i="17"/>
  <c r="I189" i="17"/>
  <c r="H189" i="17"/>
  <c r="I188" i="17"/>
  <c r="H188" i="17"/>
  <c r="I187" i="17"/>
  <c r="H187" i="17"/>
  <c r="I186" i="17"/>
  <c r="H186" i="17"/>
  <c r="I185" i="17"/>
  <c r="H185" i="17"/>
  <c r="I184" i="17"/>
  <c r="H184" i="17"/>
  <c r="I183" i="17"/>
  <c r="H183" i="17"/>
  <c r="I182" i="17"/>
  <c r="H182" i="17"/>
  <c r="I181" i="17"/>
  <c r="H181" i="17"/>
  <c r="I180" i="17"/>
  <c r="H180" i="17"/>
  <c r="I179" i="17"/>
  <c r="H179" i="17"/>
  <c r="I178" i="17"/>
  <c r="H178" i="17"/>
  <c r="I177" i="17"/>
  <c r="H177" i="17"/>
  <c r="I176" i="17"/>
  <c r="H176" i="17"/>
  <c r="I175" i="17"/>
  <c r="H175" i="17"/>
  <c r="I174" i="17"/>
  <c r="H174" i="17"/>
  <c r="I173" i="17"/>
  <c r="H173" i="17"/>
  <c r="I172" i="17"/>
  <c r="H172" i="17"/>
  <c r="I171" i="17"/>
  <c r="H171" i="17"/>
  <c r="I170" i="17"/>
  <c r="H170" i="17"/>
  <c r="I169" i="17"/>
  <c r="H169" i="17"/>
  <c r="I168" i="17"/>
  <c r="H168" i="17"/>
  <c r="I167" i="17"/>
  <c r="H167" i="17"/>
  <c r="I166" i="17"/>
  <c r="H166" i="17"/>
  <c r="I165" i="17"/>
  <c r="H165" i="17"/>
  <c r="I164" i="17"/>
  <c r="H164" i="17"/>
  <c r="I163" i="17"/>
  <c r="H163" i="17"/>
  <c r="I162" i="17"/>
  <c r="H162" i="17"/>
  <c r="I161" i="17"/>
  <c r="H161" i="17"/>
  <c r="I160" i="17"/>
  <c r="H160" i="17"/>
  <c r="I159" i="17"/>
  <c r="H159" i="17"/>
  <c r="I158" i="17"/>
  <c r="H158" i="17"/>
  <c r="I157" i="17"/>
  <c r="H157" i="17"/>
  <c r="I156" i="17"/>
  <c r="H156" i="17"/>
  <c r="I155" i="17"/>
  <c r="H155" i="17"/>
  <c r="I154" i="17"/>
  <c r="H154" i="17"/>
  <c r="I153" i="17"/>
  <c r="H153" i="17"/>
  <c r="I152" i="17"/>
  <c r="H152" i="17"/>
  <c r="I151" i="17"/>
  <c r="H151" i="17"/>
  <c r="I150" i="17"/>
  <c r="H150" i="17"/>
  <c r="I149" i="17"/>
  <c r="H149" i="17"/>
  <c r="I148" i="17"/>
  <c r="H148" i="17"/>
  <c r="I147" i="17"/>
  <c r="H147" i="17"/>
  <c r="I146" i="17"/>
  <c r="H146" i="17"/>
  <c r="I145" i="17"/>
  <c r="H145" i="17"/>
  <c r="I144" i="17"/>
  <c r="H144" i="17"/>
  <c r="I143" i="17"/>
  <c r="H143" i="17"/>
  <c r="I142" i="17"/>
  <c r="H142" i="17"/>
  <c r="I141" i="17"/>
  <c r="H141" i="17"/>
  <c r="I140" i="17"/>
  <c r="H140" i="17"/>
  <c r="I139" i="17"/>
  <c r="H139" i="17"/>
  <c r="I138" i="17"/>
  <c r="H138" i="17"/>
  <c r="I137" i="17"/>
  <c r="H137" i="17"/>
  <c r="I136" i="17"/>
  <c r="H136" i="17"/>
  <c r="I135" i="17"/>
  <c r="H135" i="17"/>
  <c r="I134" i="17"/>
  <c r="H134" i="17"/>
  <c r="I133" i="17"/>
  <c r="H133" i="17"/>
  <c r="I132" i="17"/>
  <c r="H132" i="17"/>
  <c r="I131" i="17"/>
  <c r="H131" i="17"/>
  <c r="I130" i="17"/>
  <c r="H130" i="17"/>
  <c r="I129" i="17"/>
  <c r="H129" i="17"/>
  <c r="I128" i="17"/>
  <c r="H128" i="17"/>
  <c r="I127" i="17"/>
  <c r="H127" i="17"/>
  <c r="I126" i="17"/>
  <c r="H126" i="17"/>
  <c r="I125" i="17"/>
  <c r="H125" i="17"/>
  <c r="I124" i="17"/>
  <c r="H124" i="17"/>
  <c r="I123" i="17"/>
  <c r="H123" i="17"/>
  <c r="I122" i="17"/>
  <c r="H122" i="17"/>
  <c r="I121" i="17"/>
  <c r="H121" i="17"/>
  <c r="I120" i="17"/>
  <c r="H120" i="17"/>
  <c r="I119" i="17"/>
  <c r="H119" i="17"/>
  <c r="I118" i="17"/>
  <c r="H118" i="17"/>
  <c r="I117" i="17"/>
  <c r="H117" i="17"/>
  <c r="I116" i="17"/>
  <c r="H116" i="17"/>
  <c r="I115" i="17"/>
  <c r="H115" i="17"/>
  <c r="I114" i="17"/>
  <c r="H114" i="17"/>
  <c r="I113" i="17"/>
  <c r="H113" i="17"/>
  <c r="I112" i="17"/>
  <c r="H112" i="17"/>
  <c r="I111" i="17"/>
  <c r="H111" i="17"/>
  <c r="I110" i="17"/>
  <c r="H110" i="17"/>
  <c r="I109" i="17"/>
  <c r="H109" i="17"/>
  <c r="I108" i="17"/>
  <c r="H108" i="17"/>
  <c r="I107" i="17"/>
  <c r="H107" i="17"/>
  <c r="I106" i="17"/>
  <c r="H106" i="17"/>
  <c r="I105" i="17"/>
  <c r="H105" i="17"/>
  <c r="I104" i="17"/>
  <c r="H104" i="17"/>
  <c r="I103" i="17"/>
  <c r="H103" i="17"/>
  <c r="I102" i="17"/>
  <c r="H102" i="17"/>
  <c r="I101" i="17"/>
  <c r="H101" i="17"/>
  <c r="I100" i="17"/>
  <c r="H100" i="17"/>
  <c r="I99" i="17"/>
  <c r="H99" i="17"/>
  <c r="I98" i="17"/>
  <c r="H98" i="17"/>
  <c r="I97" i="17"/>
  <c r="H97" i="17"/>
  <c r="I96" i="17"/>
  <c r="H96" i="17"/>
  <c r="I95" i="17"/>
  <c r="H95" i="17"/>
  <c r="I94" i="17"/>
  <c r="H94" i="17"/>
  <c r="I93" i="17"/>
  <c r="H93" i="17"/>
  <c r="I92" i="17"/>
  <c r="H92" i="17"/>
  <c r="I91" i="17"/>
  <c r="H91" i="17"/>
  <c r="I90" i="17"/>
  <c r="H90" i="17"/>
  <c r="I89" i="17"/>
  <c r="H89" i="17"/>
  <c r="I88" i="17"/>
  <c r="H88" i="17"/>
  <c r="I87" i="17"/>
  <c r="H87" i="17"/>
  <c r="I86" i="17"/>
  <c r="H86" i="17"/>
  <c r="I85" i="17"/>
  <c r="H85" i="17"/>
  <c r="I84" i="17"/>
  <c r="H84" i="17"/>
  <c r="I83" i="17"/>
  <c r="H83" i="17"/>
  <c r="I82" i="17"/>
  <c r="H82" i="17"/>
  <c r="I81" i="17"/>
  <c r="H81" i="17"/>
  <c r="I80" i="17"/>
  <c r="H80" i="17"/>
  <c r="I79" i="17"/>
  <c r="H79" i="17"/>
  <c r="I78" i="17"/>
  <c r="H78" i="17"/>
  <c r="I77" i="17"/>
  <c r="H77" i="17"/>
  <c r="I76" i="17"/>
  <c r="H76" i="17"/>
  <c r="I75" i="17"/>
  <c r="H75" i="17"/>
  <c r="I74" i="17"/>
  <c r="H74" i="17"/>
  <c r="I73" i="17"/>
  <c r="H73" i="17"/>
  <c r="I72" i="17"/>
  <c r="H72" i="17"/>
  <c r="I71" i="17"/>
  <c r="H71" i="17"/>
  <c r="I70" i="17"/>
  <c r="H70" i="17"/>
  <c r="I69" i="17"/>
  <c r="H69" i="17"/>
  <c r="I68" i="17"/>
  <c r="H68" i="17"/>
  <c r="I67" i="17"/>
  <c r="H67" i="17"/>
  <c r="I66" i="17"/>
  <c r="H66" i="17"/>
  <c r="I65" i="17"/>
  <c r="H65" i="17"/>
  <c r="I64" i="17"/>
  <c r="H64" i="17"/>
  <c r="I63" i="17"/>
  <c r="H63" i="17"/>
  <c r="I62" i="17"/>
  <c r="H62" i="17"/>
  <c r="I61" i="17"/>
  <c r="H61" i="17"/>
  <c r="I60" i="17"/>
  <c r="H60" i="17"/>
  <c r="I59" i="17"/>
  <c r="H59" i="17"/>
  <c r="I58" i="17"/>
  <c r="H58" i="17"/>
  <c r="I57" i="17"/>
  <c r="H57" i="17"/>
  <c r="I56" i="17"/>
  <c r="H56" i="17"/>
  <c r="I55" i="17"/>
  <c r="H55" i="17"/>
  <c r="I54" i="17"/>
  <c r="H54" i="17"/>
  <c r="I53" i="17"/>
  <c r="H53" i="17"/>
  <c r="I52" i="17"/>
  <c r="H52" i="17"/>
  <c r="I51" i="17"/>
  <c r="H51" i="17"/>
  <c r="I50" i="17"/>
  <c r="H50" i="17"/>
  <c r="I49" i="17"/>
  <c r="H49" i="17"/>
  <c r="I48" i="17"/>
  <c r="H48" i="17"/>
  <c r="I47" i="17"/>
  <c r="H47" i="17"/>
  <c r="I46" i="17"/>
  <c r="H46" i="17"/>
  <c r="I45" i="17"/>
  <c r="H45" i="17"/>
  <c r="I44" i="17"/>
  <c r="H44" i="17"/>
  <c r="I43" i="17"/>
  <c r="H43" i="17"/>
  <c r="I42" i="17"/>
  <c r="H42" i="17"/>
  <c r="I41" i="17"/>
  <c r="H41" i="17"/>
  <c r="I40" i="17"/>
  <c r="H40" i="17"/>
  <c r="I39" i="17"/>
  <c r="H39" i="17"/>
  <c r="I38" i="17"/>
  <c r="H38" i="17"/>
  <c r="I37" i="17"/>
  <c r="H37" i="17"/>
  <c r="I36" i="17"/>
  <c r="H36" i="17"/>
  <c r="I35" i="17"/>
  <c r="H35" i="17"/>
  <c r="I34" i="17"/>
  <c r="H34" i="17"/>
  <c r="I33" i="17"/>
  <c r="H33" i="17"/>
  <c r="I32" i="17"/>
  <c r="H32" i="17"/>
  <c r="I31" i="17"/>
  <c r="H31" i="17"/>
  <c r="I30" i="17"/>
  <c r="H30" i="17"/>
  <c r="I29" i="17"/>
  <c r="H29" i="17"/>
  <c r="I28" i="17"/>
  <c r="H28" i="17"/>
  <c r="I27" i="17"/>
  <c r="H27" i="17"/>
  <c r="I26" i="17"/>
  <c r="H26" i="17"/>
  <c r="I25" i="17"/>
  <c r="H25" i="17"/>
  <c r="I24" i="17"/>
  <c r="H24" i="17"/>
  <c r="I23" i="17"/>
  <c r="H23" i="17"/>
  <c r="I22" i="17"/>
  <c r="H22" i="17"/>
  <c r="I21" i="17"/>
  <c r="H21" i="17"/>
  <c r="I20" i="17"/>
  <c r="H20" i="17"/>
  <c r="I19" i="17"/>
  <c r="H19" i="17"/>
  <c r="I18" i="17"/>
  <c r="H18" i="17"/>
  <c r="I17" i="17"/>
  <c r="H17" i="17"/>
  <c r="I16" i="17"/>
  <c r="H16" i="17"/>
  <c r="I15" i="17"/>
  <c r="H15" i="17"/>
  <c r="I14" i="17"/>
  <c r="H14" i="17"/>
  <c r="I13" i="17"/>
  <c r="H13" i="17"/>
  <c r="I12" i="17"/>
  <c r="H12" i="17"/>
  <c r="I11" i="17"/>
  <c r="H11" i="17"/>
  <c r="I10" i="17"/>
  <c r="H10" i="17"/>
  <c r="I9" i="17"/>
  <c r="H9" i="17"/>
  <c r="I8" i="17"/>
  <c r="H8" i="17"/>
  <c r="I7" i="17"/>
  <c r="H7" i="17"/>
  <c r="I6" i="17"/>
  <c r="H6" i="17"/>
  <c r="I5" i="17"/>
  <c r="H5" i="17"/>
  <c r="J5" i="17"/>
  <c r="J6" i="17"/>
  <c r="J7" i="17"/>
  <c r="J8" i="17"/>
  <c r="J9" i="17"/>
  <c r="J10" i="17"/>
  <c r="J11" i="17"/>
  <c r="J12" i="17"/>
  <c r="J13" i="17"/>
  <c r="J14" i="17"/>
  <c r="J15" i="17"/>
  <c r="J16" i="17"/>
  <c r="J17" i="17"/>
  <c r="J18" i="17"/>
  <c r="J19" i="17"/>
  <c r="J20" i="17"/>
  <c r="J21" i="17"/>
  <c r="J22" i="17"/>
  <c r="J23" i="17"/>
  <c r="J24" i="17"/>
  <c r="J25" i="17"/>
  <c r="J26" i="17"/>
  <c r="J27" i="17"/>
  <c r="J28" i="17"/>
  <c r="J29" i="17"/>
  <c r="J30" i="17"/>
  <c r="J31" i="17"/>
  <c r="J32" i="17"/>
  <c r="J33" i="17"/>
  <c r="J34" i="17"/>
  <c r="J35" i="17"/>
  <c r="J36" i="17"/>
  <c r="J37" i="17"/>
  <c r="J38" i="17"/>
  <c r="J39" i="17"/>
  <c r="J40" i="17"/>
  <c r="J41" i="17"/>
  <c r="J42" i="17"/>
  <c r="J43" i="17"/>
  <c r="J44" i="17"/>
  <c r="J45" i="17"/>
  <c r="J46" i="17"/>
  <c r="J47" i="17"/>
  <c r="J48" i="17"/>
  <c r="J49" i="17"/>
  <c r="J50" i="17"/>
  <c r="J51" i="17"/>
  <c r="J52" i="17"/>
  <c r="J53" i="17"/>
  <c r="J54" i="17"/>
  <c r="J55" i="17"/>
  <c r="J56" i="17"/>
  <c r="J57" i="17"/>
  <c r="J58" i="17"/>
  <c r="J59" i="17"/>
  <c r="J60" i="17"/>
  <c r="J61" i="17"/>
  <c r="J62" i="17"/>
  <c r="J63" i="17"/>
  <c r="J64" i="17"/>
  <c r="J65" i="17"/>
  <c r="J66" i="17"/>
  <c r="J67" i="17"/>
  <c r="J68" i="17"/>
  <c r="J69" i="17"/>
  <c r="J70" i="17"/>
  <c r="J71" i="17"/>
  <c r="J72" i="17"/>
  <c r="J73" i="17"/>
  <c r="J74" i="17"/>
  <c r="J75" i="17"/>
  <c r="J76" i="17"/>
  <c r="J77" i="17"/>
  <c r="J78" i="17"/>
  <c r="J79" i="17"/>
  <c r="J80" i="17"/>
  <c r="J81" i="17"/>
  <c r="J82" i="17"/>
  <c r="J83" i="17"/>
  <c r="J84" i="17"/>
  <c r="J85" i="17"/>
  <c r="J86" i="17"/>
  <c r="J87" i="17"/>
  <c r="J88" i="17"/>
  <c r="J89" i="17"/>
  <c r="J90" i="17"/>
  <c r="J91" i="17"/>
  <c r="J92" i="17"/>
  <c r="J93" i="17"/>
  <c r="J94" i="17"/>
  <c r="J95" i="17"/>
  <c r="J96" i="17"/>
  <c r="J97" i="17"/>
  <c r="J98" i="17"/>
  <c r="J99" i="17"/>
  <c r="J100" i="17"/>
  <c r="J101" i="17"/>
  <c r="J102" i="17"/>
  <c r="J103" i="17"/>
  <c r="J104" i="17"/>
  <c r="J105" i="17"/>
  <c r="J106" i="17"/>
  <c r="J107" i="17"/>
  <c r="J108" i="17"/>
  <c r="J109" i="17"/>
  <c r="J110" i="17"/>
  <c r="J111" i="17"/>
  <c r="J112" i="17"/>
  <c r="J113" i="17"/>
  <c r="J114" i="17"/>
  <c r="J115" i="17"/>
  <c r="J116" i="17"/>
  <c r="J117" i="17"/>
  <c r="J118" i="17"/>
  <c r="J119" i="17"/>
  <c r="J120" i="17"/>
  <c r="J121" i="17"/>
  <c r="J122" i="17"/>
  <c r="J123" i="17"/>
  <c r="J124" i="17"/>
  <c r="J125" i="17"/>
  <c r="J126" i="17"/>
  <c r="J127" i="17"/>
  <c r="J128" i="17"/>
  <c r="J129" i="17"/>
  <c r="J130" i="17"/>
  <c r="J131" i="17"/>
  <c r="J132" i="17"/>
  <c r="J133" i="17"/>
  <c r="J134" i="17"/>
  <c r="J135" i="17"/>
  <c r="J136" i="17"/>
  <c r="J137" i="17"/>
  <c r="J138" i="17"/>
  <c r="J139" i="17"/>
  <c r="J140" i="17"/>
  <c r="J141" i="17"/>
  <c r="J142" i="17"/>
  <c r="J143" i="17"/>
  <c r="J144" i="17"/>
  <c r="J145" i="17"/>
  <c r="J146" i="17"/>
  <c r="J147" i="17"/>
  <c r="J148" i="17"/>
  <c r="J149" i="17"/>
  <c r="J150" i="17"/>
  <c r="J151" i="17"/>
  <c r="J152" i="17"/>
  <c r="J153" i="17"/>
  <c r="J154" i="17"/>
  <c r="J155" i="17"/>
  <c r="J156" i="17"/>
  <c r="J157" i="17"/>
  <c r="J158" i="17"/>
  <c r="J159" i="17"/>
  <c r="J160" i="17"/>
  <c r="J161" i="17"/>
  <c r="J162" i="17"/>
  <c r="J163" i="17"/>
  <c r="J164" i="17"/>
  <c r="J165" i="17"/>
  <c r="J166" i="17"/>
  <c r="J167" i="17"/>
  <c r="J168" i="17"/>
  <c r="J169" i="17"/>
  <c r="J170" i="17"/>
  <c r="J171" i="17"/>
  <c r="J172" i="17"/>
  <c r="J173" i="17"/>
  <c r="J174" i="17"/>
  <c r="J175" i="17"/>
  <c r="J176" i="17"/>
  <c r="J177" i="17"/>
  <c r="J178" i="17"/>
  <c r="J179" i="17"/>
  <c r="J180" i="17"/>
  <c r="J181" i="17"/>
  <c r="J182" i="17"/>
  <c r="J183" i="17"/>
  <c r="J184" i="17"/>
  <c r="J185" i="17"/>
  <c r="J186" i="17"/>
  <c r="J187" i="17"/>
  <c r="J188" i="17"/>
  <c r="J189" i="17"/>
  <c r="J190" i="17"/>
  <c r="J191" i="17"/>
  <c r="L6" i="17" l="1"/>
  <c r="L7" i="17"/>
  <c r="L8" i="17"/>
  <c r="L9" i="17"/>
  <c r="L10" i="17"/>
  <c r="L11" i="17"/>
  <c r="L12" i="17"/>
  <c r="L13" i="17"/>
  <c r="L14" i="17"/>
  <c r="L15" i="17"/>
  <c r="L16" i="17"/>
  <c r="L17" i="17"/>
  <c r="L18" i="17"/>
  <c r="L19" i="17"/>
  <c r="L20" i="17"/>
  <c r="L21" i="17"/>
  <c r="L22" i="17"/>
  <c r="L23" i="17"/>
  <c r="L24" i="17"/>
  <c r="L25" i="17"/>
  <c r="L26" i="17"/>
  <c r="L27" i="17"/>
  <c r="L28" i="17"/>
  <c r="L29" i="17"/>
  <c r="L30" i="17"/>
  <c r="L31" i="17"/>
  <c r="L32" i="17"/>
  <c r="L33" i="17"/>
  <c r="L34" i="17"/>
  <c r="L35" i="17"/>
  <c r="L36" i="17"/>
  <c r="L37" i="17"/>
  <c r="L38" i="17"/>
  <c r="L39" i="17"/>
  <c r="L40" i="17"/>
  <c r="L41" i="17"/>
  <c r="L42" i="17"/>
  <c r="L43" i="17"/>
  <c r="L44" i="17"/>
  <c r="L45" i="17"/>
  <c r="L46" i="17"/>
  <c r="L47" i="17"/>
  <c r="L48" i="17"/>
  <c r="L49" i="17"/>
  <c r="L50" i="17"/>
  <c r="L51" i="17"/>
  <c r="L52" i="17"/>
  <c r="L53" i="17"/>
  <c r="L54" i="17"/>
  <c r="L55" i="17"/>
  <c r="L56" i="17"/>
  <c r="L57" i="17"/>
  <c r="L58" i="17"/>
  <c r="L59" i="17"/>
  <c r="L60" i="17"/>
  <c r="L61" i="17"/>
  <c r="L62" i="17"/>
  <c r="L63" i="17"/>
  <c r="L64" i="17"/>
  <c r="L65" i="17"/>
  <c r="L66" i="17"/>
  <c r="L67" i="17"/>
  <c r="L68" i="17"/>
  <c r="L69" i="17"/>
  <c r="L70" i="17"/>
  <c r="L71" i="17"/>
  <c r="L72" i="17"/>
  <c r="L73" i="17"/>
  <c r="L74" i="17"/>
  <c r="L75" i="17"/>
  <c r="L76" i="17"/>
  <c r="L77" i="17"/>
  <c r="L78" i="17"/>
  <c r="L79" i="17"/>
  <c r="L80" i="17"/>
  <c r="L81" i="17"/>
  <c r="L82" i="17"/>
  <c r="L83" i="17"/>
  <c r="L84" i="17"/>
  <c r="L85" i="17"/>
  <c r="L86" i="17"/>
  <c r="L87" i="17"/>
  <c r="L88" i="17"/>
  <c r="L89" i="17"/>
  <c r="L90" i="17"/>
  <c r="L91" i="17"/>
  <c r="L92" i="17"/>
  <c r="L93" i="17"/>
  <c r="L94" i="17"/>
  <c r="L95" i="17"/>
  <c r="L96" i="17"/>
  <c r="L97" i="17"/>
  <c r="L98" i="17"/>
  <c r="L99" i="17"/>
  <c r="L100" i="17"/>
  <c r="L101" i="17"/>
  <c r="L102" i="17"/>
  <c r="L103" i="17"/>
  <c r="L104" i="17"/>
  <c r="L105" i="17"/>
  <c r="L106" i="17"/>
  <c r="L107" i="17"/>
  <c r="L108" i="17"/>
  <c r="L109" i="17"/>
  <c r="L110" i="17"/>
  <c r="L111" i="17"/>
  <c r="L112" i="17"/>
  <c r="L113" i="17"/>
  <c r="L114" i="17"/>
  <c r="L115" i="17"/>
  <c r="L116" i="17"/>
  <c r="L117" i="17"/>
  <c r="L118" i="17"/>
  <c r="L119" i="17"/>
  <c r="L120" i="17"/>
  <c r="L121" i="17"/>
  <c r="L122" i="17"/>
  <c r="L123" i="17"/>
  <c r="L124" i="17"/>
  <c r="L125" i="17"/>
  <c r="L126" i="17"/>
  <c r="L127" i="17"/>
  <c r="L128" i="17"/>
  <c r="L129" i="17"/>
  <c r="L130" i="17"/>
  <c r="L131" i="17"/>
  <c r="L132" i="17"/>
  <c r="L133" i="17"/>
  <c r="L134" i="17"/>
  <c r="L135" i="17"/>
  <c r="L136" i="17"/>
  <c r="L137" i="17"/>
  <c r="L138" i="17"/>
  <c r="L139" i="17"/>
  <c r="L140" i="17"/>
  <c r="L141" i="17"/>
  <c r="L142" i="17"/>
  <c r="L143" i="17"/>
  <c r="L144" i="17"/>
  <c r="L145" i="17"/>
  <c r="L146" i="17"/>
  <c r="L147" i="17"/>
  <c r="L148" i="17"/>
  <c r="L149" i="17"/>
  <c r="L150" i="17"/>
  <c r="L151" i="17"/>
  <c r="L152" i="17"/>
  <c r="L153" i="17"/>
  <c r="L154" i="17"/>
  <c r="L155" i="17"/>
  <c r="L156" i="17"/>
  <c r="L157" i="17"/>
  <c r="L158" i="17"/>
  <c r="L159" i="17"/>
  <c r="L160" i="17"/>
  <c r="L161" i="17"/>
  <c r="L162" i="17"/>
  <c r="L163" i="17"/>
  <c r="L164" i="17"/>
  <c r="L165" i="17"/>
  <c r="L166" i="17"/>
  <c r="L167" i="17"/>
  <c r="L168" i="17"/>
  <c r="L169" i="17"/>
  <c r="L170" i="17"/>
  <c r="L171" i="17"/>
  <c r="L172" i="17"/>
  <c r="L173" i="17"/>
  <c r="L174" i="17"/>
  <c r="L175" i="17"/>
  <c r="L176" i="17"/>
  <c r="L177" i="17"/>
  <c r="L178" i="17"/>
  <c r="L179" i="17"/>
  <c r="L180" i="17"/>
  <c r="L181" i="17"/>
  <c r="L182" i="17"/>
  <c r="L183" i="17"/>
  <c r="L184" i="17"/>
  <c r="L185" i="17"/>
  <c r="L186" i="17"/>
  <c r="L187" i="17"/>
  <c r="L188" i="17"/>
  <c r="L189" i="17"/>
  <c r="L190" i="17"/>
  <c r="L191" i="17"/>
  <c r="L5" i="17"/>
  <c r="K6" i="17"/>
  <c r="K7" i="17"/>
  <c r="K8" i="17"/>
  <c r="K9" i="17"/>
  <c r="K10" i="17"/>
  <c r="K11" i="17"/>
  <c r="K12" i="17"/>
  <c r="K13" i="17"/>
  <c r="K14" i="17"/>
  <c r="K15" i="17"/>
  <c r="K16" i="17"/>
  <c r="K17" i="17"/>
  <c r="K18" i="17"/>
  <c r="K19" i="17"/>
  <c r="K20" i="17"/>
  <c r="K21" i="17"/>
  <c r="K22" i="17"/>
  <c r="K23" i="17"/>
  <c r="K24" i="17"/>
  <c r="K25" i="17"/>
  <c r="K26" i="17"/>
  <c r="K27" i="17"/>
  <c r="K28" i="17"/>
  <c r="K29" i="17"/>
  <c r="K30" i="17"/>
  <c r="K31" i="17"/>
  <c r="K32" i="17"/>
  <c r="K33" i="17"/>
  <c r="K34" i="17"/>
  <c r="K35" i="17"/>
  <c r="K36" i="17"/>
  <c r="K37" i="17"/>
  <c r="K38" i="17"/>
  <c r="K39" i="17"/>
  <c r="K40" i="17"/>
  <c r="K41" i="17"/>
  <c r="K42" i="17"/>
  <c r="K43" i="17"/>
  <c r="K44" i="17"/>
  <c r="K45" i="17"/>
  <c r="K46" i="17"/>
  <c r="K47" i="17"/>
  <c r="K48" i="17"/>
  <c r="K49" i="17"/>
  <c r="K50" i="17"/>
  <c r="K51" i="17"/>
  <c r="K52" i="17"/>
  <c r="K53" i="17"/>
  <c r="K54" i="17"/>
  <c r="K55" i="17"/>
  <c r="K56" i="17"/>
  <c r="K57" i="17"/>
  <c r="K58" i="17"/>
  <c r="K59" i="17"/>
  <c r="K60" i="17"/>
  <c r="K61" i="17"/>
  <c r="K62" i="17"/>
  <c r="K63" i="17"/>
  <c r="K64" i="17"/>
  <c r="K65" i="17"/>
  <c r="K66" i="17"/>
  <c r="K67" i="17"/>
  <c r="K68" i="17"/>
  <c r="K69" i="17"/>
  <c r="K70" i="17"/>
  <c r="K71" i="17"/>
  <c r="K72" i="17"/>
  <c r="K73" i="17"/>
  <c r="K74" i="17"/>
  <c r="K75" i="17"/>
  <c r="K76" i="17"/>
  <c r="K77" i="17"/>
  <c r="K78" i="17"/>
  <c r="K79" i="17"/>
  <c r="K80" i="17"/>
  <c r="K81" i="17"/>
  <c r="K82" i="17"/>
  <c r="K83" i="17"/>
  <c r="K84" i="17"/>
  <c r="K85" i="17"/>
  <c r="K86" i="17"/>
  <c r="K87" i="17"/>
  <c r="K88" i="17"/>
  <c r="K89" i="17"/>
  <c r="K90" i="17"/>
  <c r="K91" i="17"/>
  <c r="K92" i="17"/>
  <c r="K93" i="17"/>
  <c r="K94" i="17"/>
  <c r="K95" i="17"/>
  <c r="K96" i="17"/>
  <c r="K97" i="17"/>
  <c r="K98" i="17"/>
  <c r="K99" i="17"/>
  <c r="K100" i="17"/>
  <c r="K101" i="17"/>
  <c r="K102" i="17"/>
  <c r="K103" i="17"/>
  <c r="K104" i="17"/>
  <c r="K105" i="17"/>
  <c r="K106" i="17"/>
  <c r="K107" i="17"/>
  <c r="K108" i="17"/>
  <c r="K109" i="17"/>
  <c r="K110" i="17"/>
  <c r="K111" i="17"/>
  <c r="K112" i="17"/>
  <c r="K113" i="17"/>
  <c r="K114" i="17"/>
  <c r="K115" i="17"/>
  <c r="K116" i="17"/>
  <c r="K117" i="17"/>
  <c r="K118" i="17"/>
  <c r="K119" i="17"/>
  <c r="K120" i="17"/>
  <c r="K121" i="17"/>
  <c r="K122" i="17"/>
  <c r="K123" i="17"/>
  <c r="K124" i="17"/>
  <c r="K125" i="17"/>
  <c r="K126" i="17"/>
  <c r="K127" i="17"/>
  <c r="K128" i="17"/>
  <c r="K129" i="17"/>
  <c r="K130" i="17"/>
  <c r="K131" i="17"/>
  <c r="K132" i="17"/>
  <c r="K133" i="17"/>
  <c r="K134" i="17"/>
  <c r="K135" i="17"/>
  <c r="K136" i="17"/>
  <c r="K137" i="17"/>
  <c r="K138" i="17"/>
  <c r="K139" i="17"/>
  <c r="K140" i="17"/>
  <c r="K141" i="17"/>
  <c r="K142" i="17"/>
  <c r="K143" i="17"/>
  <c r="K144" i="17"/>
  <c r="K145" i="17"/>
  <c r="K146" i="17"/>
  <c r="K147" i="17"/>
  <c r="K148" i="17"/>
  <c r="K149" i="17"/>
  <c r="K150" i="17"/>
  <c r="K151" i="17"/>
  <c r="K152" i="17"/>
  <c r="K153" i="17"/>
  <c r="K154" i="17"/>
  <c r="K155" i="17"/>
  <c r="K156" i="17"/>
  <c r="K157" i="17"/>
  <c r="K158" i="17"/>
  <c r="K159" i="17"/>
  <c r="K160" i="17"/>
  <c r="K161" i="17"/>
  <c r="K162" i="17"/>
  <c r="K163" i="17"/>
  <c r="K164" i="17"/>
  <c r="K165" i="17"/>
  <c r="K166" i="17"/>
  <c r="K167" i="17"/>
  <c r="K168" i="17"/>
  <c r="K169" i="17"/>
  <c r="K170" i="17"/>
  <c r="K171" i="17"/>
  <c r="K172" i="17"/>
  <c r="K173" i="17"/>
  <c r="K174" i="17"/>
  <c r="K175" i="17"/>
  <c r="K176" i="17"/>
  <c r="K177" i="17"/>
  <c r="K178" i="17"/>
  <c r="K179" i="17"/>
  <c r="K180" i="17"/>
  <c r="K181" i="17"/>
  <c r="K182" i="17"/>
  <c r="K183" i="17"/>
  <c r="K184" i="17"/>
  <c r="K185" i="17"/>
  <c r="K186" i="17"/>
  <c r="K187" i="17"/>
  <c r="K188" i="17"/>
  <c r="K189" i="17"/>
  <c r="K190" i="17"/>
  <c r="K191" i="17"/>
  <c r="K5" i="17"/>
  <c r="G6" i="17"/>
  <c r="G7" i="17"/>
  <c r="G8" i="17"/>
  <c r="G9" i="17"/>
  <c r="G10" i="17"/>
  <c r="G11" i="17"/>
  <c r="G12" i="17"/>
  <c r="G13" i="17"/>
  <c r="G14" i="17"/>
  <c r="G15" i="17"/>
  <c r="G16" i="17"/>
  <c r="G17" i="17"/>
  <c r="G18" i="17"/>
  <c r="G19"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G50" i="17"/>
  <c r="G51" i="17"/>
  <c r="G52" i="17"/>
  <c r="G53" i="17"/>
  <c r="G54" i="17"/>
  <c r="G55" i="17"/>
  <c r="G56" i="17"/>
  <c r="G57" i="17"/>
  <c r="G58" i="17"/>
  <c r="G59" i="17"/>
  <c r="G60" i="17"/>
  <c r="G61" i="17"/>
  <c r="G62" i="17"/>
  <c r="G63" i="17"/>
  <c r="G64" i="17"/>
  <c r="G65" i="17"/>
  <c r="G66" i="17"/>
  <c r="G67" i="17"/>
  <c r="G68" i="17"/>
  <c r="G69" i="17"/>
  <c r="G70" i="17"/>
  <c r="G71" i="17"/>
  <c r="G72" i="17"/>
  <c r="G73" i="17"/>
  <c r="G74" i="17"/>
  <c r="G75" i="17"/>
  <c r="G76" i="17"/>
  <c r="G77" i="17"/>
  <c r="G78" i="17"/>
  <c r="G79" i="17"/>
  <c r="G80" i="17"/>
  <c r="G81" i="17"/>
  <c r="G82" i="17"/>
  <c r="G83" i="17"/>
  <c r="G84" i="17"/>
  <c r="G85" i="17"/>
  <c r="G86" i="17"/>
  <c r="G87" i="17"/>
  <c r="G88" i="17"/>
  <c r="G89" i="17"/>
  <c r="G90" i="17"/>
  <c r="G91" i="17"/>
  <c r="G92" i="17"/>
  <c r="G93" i="17"/>
  <c r="G94" i="17"/>
  <c r="G95" i="17"/>
  <c r="G96" i="17"/>
  <c r="G97" i="17"/>
  <c r="G98" i="17"/>
  <c r="G99" i="17"/>
  <c r="G100" i="17"/>
  <c r="G101" i="17"/>
  <c r="G102" i="17"/>
  <c r="G103" i="17"/>
  <c r="G104" i="17"/>
  <c r="G105" i="17"/>
  <c r="G106" i="17"/>
  <c r="G107" i="17"/>
  <c r="G108" i="17"/>
  <c r="G109" i="17"/>
  <c r="G110" i="17"/>
  <c r="G111" i="17"/>
  <c r="G112" i="17"/>
  <c r="G113" i="17"/>
  <c r="G114" i="17"/>
  <c r="G115" i="17"/>
  <c r="G116" i="17"/>
  <c r="G117" i="17"/>
  <c r="G118" i="17"/>
  <c r="G119" i="17"/>
  <c r="G120" i="17"/>
  <c r="G121" i="17"/>
  <c r="G122" i="17"/>
  <c r="G123" i="17"/>
  <c r="G124" i="17"/>
  <c r="G125" i="17"/>
  <c r="G126" i="17"/>
  <c r="G127" i="17"/>
  <c r="G128" i="17"/>
  <c r="G129" i="17"/>
  <c r="G130" i="17"/>
  <c r="G131" i="17"/>
  <c r="G132" i="17"/>
  <c r="G133" i="17"/>
  <c r="G134" i="17"/>
  <c r="G135" i="17"/>
  <c r="G136" i="17"/>
  <c r="G137" i="17"/>
  <c r="G138" i="17"/>
  <c r="G139" i="17"/>
  <c r="G140" i="17"/>
  <c r="G141" i="17"/>
  <c r="G142" i="17"/>
  <c r="G143" i="17"/>
  <c r="G144" i="17"/>
  <c r="G145" i="17"/>
  <c r="G146" i="17"/>
  <c r="G147" i="17"/>
  <c r="G148" i="17"/>
  <c r="G149" i="17"/>
  <c r="G150" i="17"/>
  <c r="G151" i="17"/>
  <c r="G152" i="17"/>
  <c r="G153" i="17"/>
  <c r="G154" i="17"/>
  <c r="G155" i="17"/>
  <c r="G156" i="17"/>
  <c r="G157" i="17"/>
  <c r="G158" i="17"/>
  <c r="G159" i="17"/>
  <c r="G160" i="17"/>
  <c r="G161" i="17"/>
  <c r="G162" i="17"/>
  <c r="G163" i="17"/>
  <c r="G164" i="17"/>
  <c r="G165" i="17"/>
  <c r="G166" i="17"/>
  <c r="G167" i="17"/>
  <c r="G168" i="17"/>
  <c r="G169" i="17"/>
  <c r="G170" i="17"/>
  <c r="G171" i="17"/>
  <c r="G172" i="17"/>
  <c r="G173" i="17"/>
  <c r="G174" i="17"/>
  <c r="G175" i="17"/>
  <c r="G176" i="17"/>
  <c r="G177" i="17"/>
  <c r="G178" i="17"/>
  <c r="G179" i="17"/>
  <c r="G180" i="17"/>
  <c r="G181" i="17"/>
  <c r="G182" i="17"/>
  <c r="G183" i="17"/>
  <c r="G184" i="17"/>
  <c r="G185" i="17"/>
  <c r="G186" i="17"/>
  <c r="G187" i="17"/>
  <c r="G188" i="17"/>
  <c r="G189" i="17"/>
  <c r="G190" i="17"/>
  <c r="G191" i="17"/>
  <c r="G5" i="17"/>
  <c r="C39" i="15" s="1"/>
  <c r="C40" i="15" s="1"/>
  <c r="F183" i="17"/>
  <c r="F184" i="17"/>
  <c r="F185" i="17"/>
  <c r="F186" i="17"/>
  <c r="F187" i="17"/>
  <c r="F188" i="17"/>
  <c r="F189" i="17"/>
  <c r="F190" i="17"/>
  <c r="F191" i="17"/>
  <c r="C183" i="17"/>
  <c r="C184" i="17"/>
  <c r="C185" i="17"/>
  <c r="C186" i="17"/>
  <c r="C187" i="17"/>
  <c r="C188" i="17"/>
  <c r="C189" i="17"/>
  <c r="C190" i="17"/>
  <c r="C191" i="17"/>
  <c r="F182" i="17"/>
  <c r="F180" i="17"/>
  <c r="C180" i="17"/>
  <c r="F179" i="17"/>
  <c r="C179" i="17"/>
  <c r="F178" i="17"/>
  <c r="C178" i="17"/>
  <c r="F177" i="17"/>
  <c r="C177" i="17"/>
  <c r="F176" i="17"/>
  <c r="C176" i="17"/>
  <c r="F175" i="17"/>
  <c r="C175" i="17"/>
  <c r="F174" i="17"/>
  <c r="C174" i="17"/>
  <c r="F173" i="17"/>
  <c r="C173" i="17"/>
  <c r="F172" i="17"/>
  <c r="C172" i="17"/>
  <c r="F171" i="17"/>
  <c r="C171" i="17"/>
  <c r="F170" i="17"/>
  <c r="C170" i="17"/>
  <c r="F169" i="17"/>
  <c r="C169" i="17"/>
  <c r="F168" i="17"/>
  <c r="C168" i="17"/>
  <c r="F167" i="17"/>
  <c r="C167" i="17"/>
  <c r="F166" i="17"/>
  <c r="C166" i="17"/>
  <c r="F165" i="17"/>
  <c r="C165" i="17"/>
  <c r="F164" i="17"/>
  <c r="C164" i="17"/>
  <c r="F163" i="17"/>
  <c r="C163" i="17"/>
  <c r="F162" i="17"/>
  <c r="C162" i="17"/>
  <c r="F161" i="17"/>
  <c r="C161" i="17"/>
  <c r="F160" i="17"/>
  <c r="C160" i="17"/>
  <c r="F159" i="17"/>
  <c r="C159" i="17"/>
  <c r="F158" i="17"/>
  <c r="C158" i="17"/>
  <c r="F157" i="17"/>
  <c r="C157" i="17"/>
  <c r="F156" i="17"/>
  <c r="C156" i="17"/>
  <c r="F155" i="17"/>
  <c r="C155" i="17"/>
  <c r="F154" i="17"/>
  <c r="C154" i="17"/>
  <c r="F153" i="17"/>
  <c r="C153" i="17"/>
  <c r="F152" i="17"/>
  <c r="C152" i="17"/>
  <c r="F151" i="17"/>
  <c r="C151" i="17"/>
  <c r="F150" i="17"/>
  <c r="C150" i="17"/>
  <c r="F149" i="17"/>
  <c r="C149" i="17"/>
  <c r="F148" i="17"/>
  <c r="C148" i="17"/>
  <c r="F147" i="17"/>
  <c r="C147" i="17"/>
  <c r="F146" i="17"/>
  <c r="C146" i="17"/>
  <c r="F145" i="17"/>
  <c r="C145" i="17"/>
  <c r="F144" i="17"/>
  <c r="C144" i="17"/>
  <c r="F143" i="17"/>
  <c r="C143" i="17"/>
  <c r="F142" i="17"/>
  <c r="C142" i="17"/>
  <c r="F141" i="17"/>
  <c r="C141" i="17"/>
  <c r="F140" i="17"/>
  <c r="C140" i="17"/>
  <c r="F139" i="17"/>
  <c r="C139" i="17"/>
  <c r="F138" i="17"/>
  <c r="C138" i="17"/>
  <c r="F137" i="17"/>
  <c r="C137" i="17"/>
  <c r="F136" i="17"/>
  <c r="C136" i="17"/>
  <c r="F135" i="17"/>
  <c r="C135" i="17"/>
  <c r="F134" i="17"/>
  <c r="C134" i="17"/>
  <c r="F133" i="17"/>
  <c r="C133" i="17"/>
  <c r="F132" i="17"/>
  <c r="C132" i="17"/>
  <c r="F131" i="17"/>
  <c r="C131" i="17"/>
  <c r="F130" i="17"/>
  <c r="C130" i="17"/>
  <c r="F129" i="17"/>
  <c r="C129" i="17"/>
  <c r="F128" i="17"/>
  <c r="C128" i="17"/>
  <c r="F127" i="17"/>
  <c r="C127" i="17"/>
  <c r="F126" i="17"/>
  <c r="C126" i="17"/>
  <c r="F125" i="17"/>
  <c r="C125" i="17"/>
  <c r="F124" i="17"/>
  <c r="C124" i="17"/>
  <c r="F123" i="17"/>
  <c r="C123" i="17"/>
  <c r="F122" i="17"/>
  <c r="C122" i="17"/>
  <c r="F121" i="17"/>
  <c r="C121" i="17"/>
  <c r="F120" i="17"/>
  <c r="C120" i="17"/>
  <c r="F119" i="17"/>
  <c r="C119" i="17"/>
  <c r="F118" i="17"/>
  <c r="C118" i="17"/>
  <c r="F117" i="17"/>
  <c r="C117" i="17"/>
  <c r="F116" i="17"/>
  <c r="C116" i="17"/>
  <c r="F115" i="17"/>
  <c r="C115" i="17"/>
  <c r="F114" i="17"/>
  <c r="C114" i="17"/>
  <c r="F113" i="17"/>
  <c r="C113" i="17"/>
  <c r="F112" i="17"/>
  <c r="C112" i="17"/>
  <c r="F111" i="17"/>
  <c r="C111" i="17"/>
  <c r="F110" i="17"/>
  <c r="C110" i="17"/>
  <c r="F109" i="17"/>
  <c r="C109" i="17"/>
  <c r="F108" i="17"/>
  <c r="C108" i="17"/>
  <c r="F107" i="17"/>
  <c r="C107" i="17"/>
  <c r="F106" i="17"/>
  <c r="C106" i="17"/>
  <c r="F105" i="17"/>
  <c r="C105" i="17"/>
  <c r="F104" i="17"/>
  <c r="C104" i="17"/>
  <c r="F103" i="17"/>
  <c r="C103" i="17"/>
  <c r="F102" i="17"/>
  <c r="C102" i="17"/>
  <c r="F101" i="17"/>
  <c r="C101" i="17"/>
  <c r="F100" i="17"/>
  <c r="C100" i="17"/>
  <c r="F99" i="17"/>
  <c r="C99" i="17"/>
  <c r="F98" i="17"/>
  <c r="C98" i="17"/>
  <c r="F97" i="17"/>
  <c r="C97" i="17"/>
  <c r="F96" i="17"/>
  <c r="C96" i="17"/>
  <c r="F95" i="17"/>
  <c r="C95" i="17"/>
  <c r="F94" i="17"/>
  <c r="C94" i="17"/>
  <c r="F93" i="17"/>
  <c r="C93" i="17"/>
  <c r="F92" i="17"/>
  <c r="C92" i="17"/>
  <c r="F91" i="17"/>
  <c r="C91" i="17"/>
  <c r="F90" i="17"/>
  <c r="C90" i="17"/>
  <c r="F89" i="17"/>
  <c r="C89" i="17"/>
  <c r="F88" i="17"/>
  <c r="C88" i="17"/>
  <c r="F87" i="17"/>
  <c r="C87" i="17"/>
  <c r="F86" i="17"/>
  <c r="C86" i="17"/>
  <c r="F85" i="17"/>
  <c r="C85" i="17"/>
  <c r="F84" i="17"/>
  <c r="C84" i="17"/>
  <c r="F83" i="17"/>
  <c r="C83" i="17"/>
  <c r="F82" i="17"/>
  <c r="C82" i="17"/>
  <c r="F81" i="17"/>
  <c r="C81" i="17"/>
  <c r="F80" i="17"/>
  <c r="C80" i="17"/>
  <c r="F79" i="17"/>
  <c r="C79" i="17"/>
  <c r="F78" i="17"/>
  <c r="C78" i="17"/>
  <c r="F77" i="17"/>
  <c r="C77" i="17"/>
  <c r="F76" i="17"/>
  <c r="C76" i="17"/>
  <c r="F75" i="17"/>
  <c r="C75" i="17"/>
  <c r="F74" i="17"/>
  <c r="C74" i="17"/>
  <c r="F73" i="17"/>
  <c r="C73" i="17"/>
  <c r="F72" i="17"/>
  <c r="C72" i="17"/>
  <c r="F71" i="17"/>
  <c r="C71" i="17"/>
  <c r="F70" i="17"/>
  <c r="C70" i="17"/>
  <c r="F69" i="17"/>
  <c r="C69" i="17"/>
  <c r="F68" i="17"/>
  <c r="C68" i="17"/>
  <c r="F67" i="17"/>
  <c r="C67" i="17"/>
  <c r="F66" i="17"/>
  <c r="C66" i="17"/>
  <c r="F65" i="17"/>
  <c r="C65" i="17"/>
  <c r="F64" i="17"/>
  <c r="C64" i="17"/>
  <c r="F63" i="17"/>
  <c r="C63" i="17"/>
  <c r="F62" i="17"/>
  <c r="C62" i="17"/>
  <c r="F61" i="17"/>
  <c r="C61" i="17"/>
  <c r="F60" i="17"/>
  <c r="C60" i="17"/>
  <c r="F59" i="17"/>
  <c r="C59" i="17"/>
  <c r="F58" i="17"/>
  <c r="C58" i="17"/>
  <c r="F57" i="17"/>
  <c r="C57" i="17"/>
  <c r="F56" i="17"/>
  <c r="C56" i="17"/>
  <c r="F55" i="17"/>
  <c r="C55" i="17"/>
  <c r="F54" i="17"/>
  <c r="C54" i="17"/>
  <c r="F53" i="17"/>
  <c r="C53" i="17"/>
  <c r="F52" i="17"/>
  <c r="C52" i="17"/>
  <c r="F51" i="17"/>
  <c r="C51" i="17"/>
  <c r="F50" i="17"/>
  <c r="C50" i="17"/>
  <c r="F49" i="17"/>
  <c r="C49" i="17"/>
  <c r="F48" i="17"/>
  <c r="C48" i="17"/>
  <c r="F47" i="17"/>
  <c r="C47" i="17"/>
  <c r="F46" i="17"/>
  <c r="C46" i="17"/>
  <c r="F45" i="17"/>
  <c r="C45" i="17"/>
  <c r="F44" i="17"/>
  <c r="C44" i="17"/>
  <c r="F43" i="17"/>
  <c r="C43" i="17"/>
  <c r="F42" i="17"/>
  <c r="C42" i="17"/>
  <c r="F41" i="17"/>
  <c r="C41" i="17"/>
  <c r="F40" i="17"/>
  <c r="C40" i="17"/>
  <c r="F39" i="17"/>
  <c r="C39" i="17"/>
  <c r="F38" i="17"/>
  <c r="C38" i="17"/>
  <c r="F37" i="17"/>
  <c r="C37" i="17"/>
  <c r="F36" i="17"/>
  <c r="C36" i="17"/>
  <c r="F35" i="17"/>
  <c r="C35" i="17"/>
  <c r="F34" i="17"/>
  <c r="C34" i="17"/>
  <c r="F33" i="17"/>
  <c r="C33" i="17"/>
  <c r="F32" i="17"/>
  <c r="C32" i="17"/>
  <c r="F31" i="17"/>
  <c r="C31" i="17"/>
  <c r="F30" i="17"/>
  <c r="C30" i="17"/>
  <c r="F29" i="17"/>
  <c r="C29" i="17"/>
  <c r="F28" i="17"/>
  <c r="C28" i="17"/>
  <c r="F27" i="17"/>
  <c r="C27" i="17"/>
  <c r="F26" i="17"/>
  <c r="C26" i="17"/>
  <c r="F25" i="17"/>
  <c r="C25" i="17"/>
  <c r="F24" i="17"/>
  <c r="C24" i="17"/>
  <c r="F23" i="17"/>
  <c r="C23" i="17"/>
  <c r="F22" i="17"/>
  <c r="C22" i="17"/>
  <c r="F21" i="17"/>
  <c r="C21" i="17"/>
  <c r="F20" i="17"/>
  <c r="C20" i="17"/>
  <c r="F19" i="17"/>
  <c r="C19" i="17"/>
  <c r="F18" i="17"/>
  <c r="C18" i="17"/>
  <c r="F17" i="17"/>
  <c r="C17" i="17"/>
  <c r="F16" i="17"/>
  <c r="C16" i="17"/>
  <c r="F15" i="17"/>
  <c r="C15" i="17"/>
  <c r="F14" i="17"/>
  <c r="C14" i="17"/>
  <c r="F13" i="17"/>
  <c r="C13" i="17"/>
  <c r="F12" i="17"/>
  <c r="C12" i="17"/>
  <c r="F11" i="17"/>
  <c r="C11" i="17"/>
  <c r="F10" i="17"/>
  <c r="C10" i="17"/>
  <c r="F9" i="17"/>
  <c r="C9" i="17"/>
  <c r="F8" i="17"/>
  <c r="C8" i="17"/>
  <c r="F7" i="17"/>
  <c r="C7" i="17"/>
  <c r="F6" i="17"/>
  <c r="C6" i="17"/>
  <c r="F5" i="17"/>
  <c r="C38" i="15" s="1"/>
  <c r="C5" i="17"/>
  <c r="C181" i="17" l="1"/>
  <c r="F181" i="17"/>
  <c r="R60" i="18" l="1"/>
  <c r="R59" i="18"/>
  <c r="R55" i="18"/>
  <c r="R54" i="18"/>
  <c r="C17" i="22"/>
  <c r="C4" i="22"/>
  <c r="R45" i="18" l="1"/>
  <c r="P45" i="18"/>
  <c r="Q45" i="18"/>
  <c r="C18" i="22"/>
  <c r="C32" i="22" s="1"/>
  <c r="C57" i="15" s="1"/>
  <c r="C9" i="22"/>
  <c r="X43" i="15" l="1"/>
  <c r="C56" i="15"/>
  <c r="C13" i="21"/>
  <c r="D13" i="21" s="1"/>
  <c r="C8" i="21"/>
  <c r="D8" i="21" s="1"/>
  <c r="E8" i="21" s="1"/>
  <c r="C6" i="21"/>
  <c r="D6" i="21" s="1"/>
  <c r="C5" i="21" l="1"/>
  <c r="D5" i="21" s="1"/>
  <c r="E5" i="21" s="1"/>
  <c r="C3" i="21"/>
  <c r="D3" i="21" s="1"/>
  <c r="C14" i="21"/>
  <c r="D14" i="21" s="1"/>
  <c r="E14" i="21" s="1"/>
  <c r="E13" i="21"/>
  <c r="C7" i="21"/>
  <c r="D7" i="21" s="1"/>
  <c r="E7" i="21" s="1"/>
  <c r="C182" i="17"/>
  <c r="J6" i="20"/>
  <c r="J7" i="20"/>
  <c r="J8" i="20"/>
  <c r="J9" i="20"/>
  <c r="J10" i="20"/>
  <c r="J11" i="20"/>
  <c r="J12" i="20"/>
  <c r="J13" i="20"/>
  <c r="J14" i="20"/>
  <c r="J15" i="20"/>
  <c r="J16" i="20"/>
  <c r="J17" i="20"/>
  <c r="J18" i="20"/>
  <c r="J19" i="20"/>
  <c r="J20" i="20"/>
  <c r="J21" i="20"/>
  <c r="J22" i="20"/>
  <c r="J23" i="20"/>
  <c r="J24" i="20"/>
  <c r="J25" i="20"/>
  <c r="J26" i="20"/>
  <c r="J27" i="20"/>
  <c r="J28" i="20"/>
  <c r="J29" i="20"/>
  <c r="J30" i="20"/>
  <c r="J31" i="20"/>
  <c r="J32" i="20"/>
  <c r="J33" i="20"/>
  <c r="J34" i="20"/>
  <c r="J35" i="20"/>
  <c r="J36" i="20"/>
  <c r="J37" i="20"/>
  <c r="J38" i="20"/>
  <c r="J39" i="20"/>
  <c r="J40" i="20"/>
  <c r="J41" i="20"/>
  <c r="J42" i="20"/>
  <c r="J43" i="20"/>
  <c r="J44" i="20"/>
  <c r="J45" i="20"/>
  <c r="J46" i="20"/>
  <c r="J47" i="20"/>
  <c r="J48" i="20"/>
  <c r="J49" i="20"/>
  <c r="J50" i="20"/>
  <c r="J51" i="20"/>
  <c r="J52" i="20"/>
  <c r="J53" i="20"/>
  <c r="J54" i="20"/>
  <c r="J55" i="20"/>
  <c r="J56" i="20"/>
  <c r="J57" i="20"/>
  <c r="J58" i="20"/>
  <c r="J59" i="20"/>
  <c r="J60" i="20"/>
  <c r="J61" i="20"/>
  <c r="J62" i="20"/>
  <c r="J63" i="20"/>
  <c r="J64" i="20"/>
  <c r="J65" i="20"/>
  <c r="J66" i="20"/>
  <c r="J67" i="20"/>
  <c r="J68" i="20"/>
  <c r="J69" i="20"/>
  <c r="J70" i="20"/>
  <c r="J71" i="20"/>
  <c r="J72" i="20"/>
  <c r="J73" i="20"/>
  <c r="J74" i="20"/>
  <c r="J75" i="20"/>
  <c r="J76" i="20"/>
  <c r="J77" i="20"/>
  <c r="J78" i="20"/>
  <c r="J79" i="20"/>
  <c r="J80" i="20"/>
  <c r="J81" i="20"/>
  <c r="J82" i="20"/>
  <c r="J83" i="20"/>
  <c r="J84" i="20"/>
  <c r="J85" i="20"/>
  <c r="J86" i="20"/>
  <c r="J87" i="20"/>
  <c r="J88" i="20"/>
  <c r="J89" i="20"/>
  <c r="J90" i="20"/>
  <c r="J91" i="20"/>
  <c r="J92" i="20"/>
  <c r="J93" i="20"/>
  <c r="J94" i="20"/>
  <c r="J95" i="20"/>
  <c r="J96" i="20"/>
  <c r="J97" i="20"/>
  <c r="J98" i="20"/>
  <c r="J99" i="20"/>
  <c r="J100" i="20"/>
  <c r="J101" i="20"/>
  <c r="J102" i="20"/>
  <c r="J103" i="20"/>
  <c r="J104" i="20"/>
  <c r="J105" i="20"/>
  <c r="J106" i="20"/>
  <c r="J107" i="20"/>
  <c r="J108" i="20"/>
  <c r="J109" i="20"/>
  <c r="J110" i="20"/>
  <c r="J111" i="20"/>
  <c r="J112" i="20"/>
  <c r="J113" i="20"/>
  <c r="J114" i="20"/>
  <c r="J115" i="20"/>
  <c r="J116" i="20"/>
  <c r="J117" i="20"/>
  <c r="J118" i="20"/>
  <c r="J119" i="20"/>
  <c r="J120" i="20"/>
  <c r="J121" i="20"/>
  <c r="J122" i="20"/>
  <c r="J123" i="20"/>
  <c r="J124" i="20"/>
  <c r="J125" i="20"/>
  <c r="J126" i="20"/>
  <c r="J127" i="20"/>
  <c r="J128" i="20"/>
  <c r="J129" i="20"/>
  <c r="J130" i="20"/>
  <c r="J131" i="20"/>
  <c r="J132" i="20"/>
  <c r="J133" i="20"/>
  <c r="J134" i="20"/>
  <c r="J135" i="20"/>
  <c r="J136" i="20"/>
  <c r="J137" i="20"/>
  <c r="J138" i="20"/>
  <c r="J139" i="20"/>
  <c r="J140" i="20"/>
  <c r="J141" i="20"/>
  <c r="J142" i="20"/>
  <c r="J143" i="20"/>
  <c r="J144" i="20"/>
  <c r="J145" i="20"/>
  <c r="J146" i="20"/>
  <c r="J147" i="20"/>
  <c r="J148" i="20"/>
  <c r="J149" i="20"/>
  <c r="J150" i="20"/>
  <c r="J151" i="20"/>
  <c r="J152" i="20"/>
  <c r="J153" i="20"/>
  <c r="J154" i="20"/>
  <c r="J155" i="20"/>
  <c r="J156" i="20"/>
  <c r="J157" i="20"/>
  <c r="J158" i="20"/>
  <c r="J159" i="20"/>
  <c r="J160" i="20"/>
  <c r="J161" i="20"/>
  <c r="J162" i="20"/>
  <c r="J163" i="20"/>
  <c r="J164" i="20"/>
  <c r="J165" i="20"/>
  <c r="J166" i="20"/>
  <c r="J167" i="20"/>
  <c r="J168" i="20"/>
  <c r="J169" i="20"/>
  <c r="J170" i="20"/>
  <c r="J171" i="20"/>
  <c r="J172" i="20"/>
  <c r="J173" i="20"/>
  <c r="J174" i="20"/>
  <c r="J175" i="20"/>
  <c r="J176" i="20"/>
  <c r="J177" i="20"/>
  <c r="J178" i="20"/>
  <c r="J179" i="20"/>
  <c r="J180" i="20"/>
  <c r="J181" i="20"/>
  <c r="J182" i="20"/>
  <c r="J183" i="20"/>
  <c r="J184" i="20"/>
  <c r="J185" i="20"/>
  <c r="J186" i="20"/>
  <c r="J187" i="20"/>
  <c r="J188" i="20"/>
  <c r="J189" i="20"/>
  <c r="J190" i="20"/>
  <c r="J191" i="20"/>
  <c r="J192" i="20"/>
  <c r="J193" i="20"/>
  <c r="J194" i="20"/>
  <c r="J195" i="20"/>
  <c r="J196" i="20"/>
  <c r="J197" i="20"/>
  <c r="J5" i="20"/>
  <c r="C2" i="21" l="1"/>
  <c r="D2" i="21" s="1"/>
  <c r="C15" i="21"/>
  <c r="D15" i="21" s="1"/>
  <c r="E3" i="21"/>
  <c r="Q58" i="18"/>
  <c r="R58" i="18"/>
  <c r="P58" i="18"/>
  <c r="Q57" i="18"/>
  <c r="R57" i="18"/>
  <c r="P57" i="18"/>
  <c r="Q56" i="18"/>
  <c r="R56" i="18"/>
  <c r="P56" i="18"/>
  <c r="E15" i="21" l="1"/>
  <c r="C4" i="21"/>
  <c r="D4" i="21" s="1"/>
  <c r="B78" i="21"/>
  <c r="E6" i="21"/>
  <c r="C16" i="21"/>
  <c r="D16" i="21" s="1"/>
  <c r="B27" i="21"/>
  <c r="D74" i="18"/>
  <c r="E16" i="21" l="1"/>
  <c r="E2" i="21"/>
  <c r="D27" i="21"/>
  <c r="E4" i="21"/>
  <c r="D78" i="21"/>
  <c r="C27" i="21"/>
  <c r="C78" i="21"/>
  <c r="I78" i="21" s="1"/>
  <c r="O10" i="17"/>
  <c r="E27" i="21" l="1"/>
  <c r="E78" i="21"/>
  <c r="S56" i="18"/>
  <c r="S57" i="18"/>
  <c r="E37" i="15" l="1"/>
  <c r="C14" i="22"/>
  <c r="C27" i="22"/>
  <c r="C11" i="21"/>
  <c r="D11" i="21" s="1"/>
  <c r="C11" i="6"/>
  <c r="D11" i="6" s="1"/>
  <c r="K35" i="15"/>
  <c r="F29" i="15"/>
  <c r="W39" i="15"/>
  <c r="B13" i="14"/>
  <c r="C13" i="14"/>
  <c r="D13" i="14"/>
  <c r="B14" i="14"/>
  <c r="C14" i="14"/>
  <c r="D14" i="14"/>
  <c r="C12" i="14"/>
  <c r="D12" i="14"/>
  <c r="B12" i="14"/>
  <c r="C8" i="13"/>
  <c r="C4" i="13"/>
  <c r="C12" i="6"/>
  <c r="D12" i="6" s="1"/>
  <c r="C3" i="6"/>
  <c r="D3" i="6" s="1"/>
  <c r="E3" i="6" s="1"/>
  <c r="C15" i="6"/>
  <c r="D15" i="6" s="1"/>
  <c r="E15" i="6" s="1"/>
  <c r="C8" i="6"/>
  <c r="D8" i="6" s="1"/>
  <c r="E8" i="6" s="1"/>
  <c r="C13" i="6"/>
  <c r="D13" i="6" s="1"/>
  <c r="E13" i="6" s="1"/>
  <c r="C14" i="6"/>
  <c r="D14" i="6" s="1"/>
  <c r="E14" i="6" s="1"/>
  <c r="E11" i="21" l="1"/>
  <c r="E11" i="6"/>
  <c r="B27" i="6"/>
  <c r="E12" i="6"/>
  <c r="B4" i="7"/>
  <c r="C5" i="6"/>
  <c r="D5" i="6" s="1"/>
  <c r="E5" i="6" s="1"/>
  <c r="C7" i="6"/>
  <c r="D7" i="6" s="1"/>
  <c r="E7" i="6" s="1"/>
  <c r="C6" i="6"/>
  <c r="D6" i="6" s="1"/>
  <c r="D49" i="7"/>
  <c r="C4" i="6"/>
  <c r="D4" i="6" s="1"/>
  <c r="E4" i="6" s="1"/>
  <c r="C2" i="6"/>
  <c r="D2" i="6" s="1"/>
  <c r="B21" i="7"/>
  <c r="B2" i="7"/>
  <c r="C28" i="7" l="1"/>
  <c r="C20" i="21"/>
  <c r="E20" i="21" s="1"/>
  <c r="B20" i="21"/>
  <c r="D20" i="21" s="1"/>
  <c r="D48" i="7"/>
  <c r="D20" i="7" s="1"/>
  <c r="E20" i="7"/>
  <c r="C16" i="6"/>
  <c r="B78" i="6"/>
  <c r="F29" i="7"/>
  <c r="B31" i="7"/>
  <c r="B20" i="7" s="1"/>
  <c r="F31" i="7"/>
  <c r="C38" i="7"/>
  <c r="C31" i="7"/>
  <c r="C20" i="6"/>
  <c r="E20" i="6" s="1"/>
  <c r="B20" i="6"/>
  <c r="D20" i="6" s="1"/>
  <c r="C27" i="6" l="1"/>
  <c r="D16" i="6"/>
  <c r="D27" i="6" s="1"/>
  <c r="B19" i="21"/>
  <c r="C19" i="21"/>
  <c r="B22" i="6"/>
  <c r="D22" i="6" s="1"/>
  <c r="D61" i="6" s="1"/>
  <c r="C22" i="21"/>
  <c r="B22" i="21"/>
  <c r="B24" i="6"/>
  <c r="D24" i="6" s="1"/>
  <c r="B24" i="21"/>
  <c r="D24" i="21" s="1"/>
  <c r="C24" i="21"/>
  <c r="E24" i="21" s="1"/>
  <c r="C78" i="6"/>
  <c r="I78" i="6" s="1"/>
  <c r="C22" i="6"/>
  <c r="E22" i="6" s="1"/>
  <c r="E61" i="6" s="1"/>
  <c r="F20" i="7"/>
  <c r="C24" i="6"/>
  <c r="E24" i="6" s="1"/>
  <c r="E6" i="6"/>
  <c r="E2" i="6"/>
  <c r="C19" i="6"/>
  <c r="B19" i="6"/>
  <c r="D18" i="7"/>
  <c r="C20" i="7"/>
  <c r="E16" i="6" l="1"/>
  <c r="E78" i="6" s="1"/>
  <c r="D78" i="6"/>
  <c r="B61" i="6"/>
  <c r="E22" i="21"/>
  <c r="E61" i="21" s="1"/>
  <c r="C61" i="21"/>
  <c r="E19" i="21"/>
  <c r="E21" i="21" s="1"/>
  <c r="E49" i="21" s="1"/>
  <c r="C21" i="21"/>
  <c r="C49" i="21" s="1"/>
  <c r="D22" i="21"/>
  <c r="D61" i="21" s="1"/>
  <c r="B61" i="21"/>
  <c r="B21" i="21"/>
  <c r="B49" i="21" s="1"/>
  <c r="D19" i="21"/>
  <c r="D21" i="21" s="1"/>
  <c r="D49" i="21" s="1"/>
  <c r="C23" i="21"/>
  <c r="B23" i="21"/>
  <c r="C61" i="6"/>
  <c r="D19" i="6"/>
  <c r="D21" i="6" s="1"/>
  <c r="D49" i="6" s="1"/>
  <c r="B21" i="6"/>
  <c r="C21" i="6"/>
  <c r="E19" i="6"/>
  <c r="E21" i="6" s="1"/>
  <c r="E49" i="6" s="1"/>
  <c r="B23" i="6"/>
  <c r="D23" i="6" s="1"/>
  <c r="C18" i="7"/>
  <c r="B18" i="7" s="1"/>
  <c r="C23" i="6"/>
  <c r="E23" i="6" s="1"/>
  <c r="E27" i="6" l="1"/>
  <c r="D23" i="21"/>
  <c r="B25" i="21"/>
  <c r="E23" i="21"/>
  <c r="C25" i="21"/>
  <c r="C25" i="6"/>
  <c r="C49" i="6"/>
  <c r="B49" i="6"/>
  <c r="B25" i="6"/>
  <c r="B28" i="21" l="1"/>
  <c r="B26" i="21"/>
  <c r="D25" i="21"/>
  <c r="C28" i="21"/>
  <c r="C26" i="21"/>
  <c r="E25" i="21"/>
  <c r="B28" i="6"/>
  <c r="D25" i="6"/>
  <c r="B26" i="6"/>
  <c r="C28" i="6"/>
  <c r="C26" i="6"/>
  <c r="E25" i="6"/>
  <c r="E28" i="21" l="1"/>
  <c r="E26" i="21"/>
  <c r="B29" i="21"/>
  <c r="B30" i="21" s="1"/>
  <c r="B31" i="21" s="1"/>
  <c r="C29" i="21"/>
  <c r="C30" i="21" s="1"/>
  <c r="C31" i="21" s="1"/>
  <c r="D28" i="21"/>
  <c r="D26" i="21"/>
  <c r="B29" i="6"/>
  <c r="B30" i="6" s="1"/>
  <c r="C29" i="6"/>
  <c r="C30" i="6" s="1"/>
  <c r="C31" i="6" s="1"/>
  <c r="C32" i="6" s="1"/>
  <c r="E28" i="6"/>
  <c r="E26" i="6"/>
  <c r="D26" i="6"/>
  <c r="D28" i="6"/>
  <c r="D29" i="21" l="1"/>
  <c r="D30" i="21" s="1"/>
  <c r="E29" i="21"/>
  <c r="E30" i="21" s="1"/>
  <c r="B31" i="6"/>
  <c r="B32" i="6" s="1"/>
  <c r="B33" i="6" s="1"/>
  <c r="C33" i="6"/>
  <c r="D29" i="6"/>
  <c r="D30" i="6" s="1"/>
  <c r="E29" i="6"/>
  <c r="E30" i="6" s="1"/>
  <c r="E31" i="21" l="1"/>
  <c r="D31" i="21"/>
  <c r="D37" i="6"/>
  <c r="C37" i="6"/>
  <c r="C41" i="6" s="1"/>
  <c r="B37" i="6"/>
  <c r="E37" i="6"/>
  <c r="E31" i="6"/>
  <c r="E32" i="6" s="1"/>
  <c r="E33" i="6" s="1"/>
  <c r="D31" i="6"/>
  <c r="D32" i="6" s="1"/>
  <c r="D33" i="6" s="1"/>
  <c r="E41" i="6" l="1"/>
  <c r="B75" i="6"/>
  <c r="B60" i="6"/>
  <c r="B41" i="6"/>
  <c r="B48" i="6"/>
  <c r="E75" i="6"/>
  <c r="E48" i="6"/>
  <c r="E60" i="6"/>
  <c r="C75" i="6"/>
  <c r="I75" i="6" s="1"/>
  <c r="C48" i="6"/>
  <c r="C60" i="6"/>
  <c r="D41" i="6"/>
  <c r="D75" i="6"/>
  <c r="D60" i="6"/>
  <c r="D48" i="6"/>
  <c r="I48" i="6" l="1"/>
  <c r="C8" i="22" s="1"/>
  <c r="C10" i="22" s="1"/>
  <c r="C47" i="15"/>
  <c r="C33" i="22" s="1"/>
  <c r="C58" i="15" s="1"/>
  <c r="E63" i="6"/>
  <c r="E62" i="6"/>
  <c r="C62" i="6"/>
  <c r="C63" i="6"/>
  <c r="C50" i="6"/>
  <c r="C51" i="6"/>
  <c r="E50" i="6"/>
  <c r="E51" i="6"/>
  <c r="B62" i="6"/>
  <c r="B63" i="6"/>
  <c r="D62" i="6"/>
  <c r="D63" i="6"/>
  <c r="D50" i="6"/>
  <c r="D51" i="6"/>
  <c r="B50" i="6"/>
  <c r="B51" i="6"/>
  <c r="B40" i="6"/>
  <c r="D40" i="6"/>
  <c r="C19" i="22" l="1"/>
  <c r="C29" i="22"/>
  <c r="C23" i="22"/>
  <c r="B52" i="6"/>
  <c r="C52" i="6"/>
  <c r="D52" i="6"/>
  <c r="E52" i="6"/>
  <c r="E64" i="6"/>
  <c r="E67" i="6" s="1"/>
  <c r="D64" i="6"/>
  <c r="D67" i="6" s="1"/>
  <c r="B64" i="6"/>
  <c r="B67" i="6" s="1"/>
  <c r="C64" i="6"/>
  <c r="C67" i="6" s="1"/>
  <c r="E65" i="6" l="1"/>
  <c r="E66" i="6"/>
  <c r="C65" i="6"/>
  <c r="C66" i="6"/>
  <c r="B55" i="6"/>
  <c r="B54" i="6"/>
  <c r="C55" i="6"/>
  <c r="C54" i="6"/>
  <c r="E55" i="6"/>
  <c r="E54" i="6"/>
  <c r="D55" i="6"/>
  <c r="D54" i="6"/>
  <c r="B53" i="6"/>
  <c r="D53" i="6"/>
  <c r="C53" i="6"/>
  <c r="D66" i="6"/>
  <c r="D65" i="6"/>
  <c r="E53" i="6"/>
  <c r="B66" i="6"/>
  <c r="B65" i="6"/>
  <c r="E68" i="6" l="1"/>
  <c r="E81" i="6" s="1"/>
  <c r="C56" i="6"/>
  <c r="C57" i="6" s="1"/>
  <c r="D56" i="6"/>
  <c r="D57" i="6" s="1"/>
  <c r="E56" i="6"/>
  <c r="E80" i="6" s="1"/>
  <c r="D68" i="6"/>
  <c r="D81" i="6" s="1"/>
  <c r="C68" i="6"/>
  <c r="C81" i="6" s="1"/>
  <c r="I81" i="6" s="1"/>
  <c r="B56" i="6"/>
  <c r="B80" i="6" s="1"/>
  <c r="B68" i="6"/>
  <c r="B81" i="6" s="1"/>
  <c r="C42" i="15" l="1"/>
  <c r="D80" i="6"/>
  <c r="E69" i="6"/>
  <c r="D69" i="6"/>
  <c r="D70" i="6" s="1"/>
  <c r="C80" i="6"/>
  <c r="I80" i="6" s="1"/>
  <c r="B57" i="6"/>
  <c r="C69" i="6"/>
  <c r="C70" i="6" s="1"/>
  <c r="E57" i="6"/>
  <c r="B69" i="6"/>
  <c r="C41" i="15" l="1"/>
  <c r="E70" i="6"/>
  <c r="E74" i="6" s="1"/>
  <c r="B70" i="6"/>
  <c r="B38" i="6" s="1"/>
  <c r="D74" i="6"/>
  <c r="D38" i="6"/>
  <c r="D42" i="6" s="1"/>
  <c r="D77" i="6" s="1"/>
  <c r="D39" i="6"/>
  <c r="C74" i="6"/>
  <c r="I74" i="6" s="1"/>
  <c r="C38" i="6"/>
  <c r="C39" i="6"/>
  <c r="D43" i="6" l="1"/>
  <c r="D45" i="6" s="1"/>
  <c r="D73" i="6" s="1"/>
  <c r="D76" i="6" s="1"/>
  <c r="D83" i="6" s="1"/>
  <c r="E39" i="6"/>
  <c r="B74" i="6"/>
  <c r="C43" i="6"/>
  <c r="C45" i="6" s="1"/>
  <c r="C73" i="6" s="1"/>
  <c r="I73" i="6" s="1"/>
  <c r="E38" i="6"/>
  <c r="E42" i="6" s="1"/>
  <c r="E77" i="6" s="1"/>
  <c r="B39" i="6"/>
  <c r="B43" i="6" s="1"/>
  <c r="B45" i="6" s="1"/>
  <c r="B73" i="6" s="1"/>
  <c r="B76" i="6" s="1"/>
  <c r="B83" i="6" s="1"/>
  <c r="D44" i="6"/>
  <c r="D79" i="6" s="1"/>
  <c r="D82" i="6" s="1"/>
  <c r="B42" i="6"/>
  <c r="B77" i="6" s="1"/>
  <c r="C42" i="6"/>
  <c r="C77" i="6" s="1"/>
  <c r="I77" i="6" s="1"/>
  <c r="C37" i="15" l="1"/>
  <c r="C76" i="6"/>
  <c r="I76" i="6" s="1"/>
  <c r="E44" i="6"/>
  <c r="E79" i="6" s="1"/>
  <c r="E82" i="6" s="1"/>
  <c r="E43" i="6"/>
  <c r="E45" i="6" s="1"/>
  <c r="E73" i="6" s="1"/>
  <c r="B44" i="6"/>
  <c r="B79" i="6" s="1"/>
  <c r="B82" i="6" s="1"/>
  <c r="C44" i="6"/>
  <c r="C79" i="6" s="1"/>
  <c r="I79" i="6" s="1"/>
  <c r="E76" i="6" l="1"/>
  <c r="E83" i="6" s="1"/>
  <c r="C82" i="6"/>
  <c r="I82" i="6" s="1"/>
  <c r="C83" i="6"/>
  <c r="I83" i="6" s="1"/>
  <c r="F22" i="15" l="1"/>
  <c r="C12" i="21" l="1"/>
  <c r="C32" i="21" l="1"/>
  <c r="C33" i="21" s="1"/>
  <c r="D12" i="21"/>
  <c r="D32" i="21" s="1"/>
  <c r="D33" i="21" s="1"/>
  <c r="E12" i="21"/>
  <c r="E32" i="21" s="1"/>
  <c r="E33" i="21" s="1"/>
  <c r="B32" i="21"/>
  <c r="B33" i="21" s="1"/>
  <c r="B37" i="21" s="1"/>
  <c r="E37" i="21" l="1"/>
  <c r="E41" i="21" s="1"/>
  <c r="D37" i="21"/>
  <c r="D48" i="21" s="1"/>
  <c r="C37" i="21"/>
  <c r="C41" i="21" s="1"/>
  <c r="B75" i="21"/>
  <c r="B60" i="21"/>
  <c r="B48" i="21"/>
  <c r="B41" i="21"/>
  <c r="E75" i="21" l="1"/>
  <c r="E60" i="21"/>
  <c r="E63" i="21" s="1"/>
  <c r="D75" i="21"/>
  <c r="D41" i="21"/>
  <c r="C60" i="21"/>
  <c r="C63" i="21" s="1"/>
  <c r="D60" i="21"/>
  <c r="D62" i="21" s="1"/>
  <c r="E48" i="21"/>
  <c r="E50" i="21" s="1"/>
  <c r="C48" i="21"/>
  <c r="C50" i="21" s="1"/>
  <c r="C75" i="21"/>
  <c r="I75" i="21" s="1"/>
  <c r="D51" i="21"/>
  <c r="D50" i="21"/>
  <c r="D40" i="21"/>
  <c r="B50" i="21"/>
  <c r="B51" i="21"/>
  <c r="B40" i="21"/>
  <c r="B63" i="21"/>
  <c r="B62" i="21"/>
  <c r="D63" i="21" l="1"/>
  <c r="D64" i="21" s="1"/>
  <c r="D67" i="21" s="1"/>
  <c r="I48" i="21"/>
  <c r="C62" i="21"/>
  <c r="E51" i="21"/>
  <c r="E55" i="21" s="1"/>
  <c r="E62" i="21"/>
  <c r="C51" i="21"/>
  <c r="C52" i="21" s="1"/>
  <c r="B64" i="21"/>
  <c r="B67" i="21" s="1"/>
  <c r="B55" i="21"/>
  <c r="B52" i="21"/>
  <c r="D52" i="21"/>
  <c r="D55" i="21"/>
  <c r="E52" i="21" l="1"/>
  <c r="E54" i="21" s="1"/>
  <c r="C64" i="21"/>
  <c r="C65" i="21" s="1"/>
  <c r="E64" i="21"/>
  <c r="E66" i="21" s="1"/>
  <c r="C55" i="21"/>
  <c r="B54" i="21"/>
  <c r="B53" i="21"/>
  <c r="B65" i="21"/>
  <c r="B66" i="21"/>
  <c r="C54" i="21"/>
  <c r="C53" i="21"/>
  <c r="D54" i="21"/>
  <c r="D53" i="21"/>
  <c r="D65" i="21"/>
  <c r="D66" i="21"/>
  <c r="E67" i="21" l="1"/>
  <c r="C67" i="21"/>
  <c r="E53" i="21"/>
  <c r="E56" i="21" s="1"/>
  <c r="E57" i="21" s="1"/>
  <c r="C66" i="21"/>
  <c r="E65" i="21"/>
  <c r="B68" i="21"/>
  <c r="B69" i="21" s="1"/>
  <c r="D68" i="21"/>
  <c r="D69" i="21" s="1"/>
  <c r="D56" i="21"/>
  <c r="D57" i="21" s="1"/>
  <c r="C56" i="21"/>
  <c r="C80" i="21" s="1"/>
  <c r="I80" i="21" s="1"/>
  <c r="B56" i="21"/>
  <c r="B80" i="21" s="1"/>
  <c r="E68" i="21" l="1"/>
  <c r="E69" i="21" s="1"/>
  <c r="E70" i="21" s="1"/>
  <c r="E74" i="21" s="1"/>
  <c r="C68" i="21"/>
  <c r="C81" i="21" s="1"/>
  <c r="I81" i="21" s="1"/>
  <c r="D80" i="21"/>
  <c r="B81" i="21"/>
  <c r="C57" i="21"/>
  <c r="D81" i="21"/>
  <c r="D70" i="21"/>
  <c r="D39" i="21" s="1"/>
  <c r="B57" i="21"/>
  <c r="B70" i="21" s="1"/>
  <c r="B74" i="21" s="1"/>
  <c r="E80" i="21"/>
  <c r="E81" i="21" l="1"/>
  <c r="C69" i="21"/>
  <c r="C70" i="21" s="1"/>
  <c r="C74" i="21" s="1"/>
  <c r="I74" i="21" s="1"/>
  <c r="E39" i="21"/>
  <c r="E38" i="21"/>
  <c r="E42" i="21" s="1"/>
  <c r="E77" i="21" s="1"/>
  <c r="D38" i="21"/>
  <c r="D43" i="21" s="1"/>
  <c r="D45" i="21" s="1"/>
  <c r="D73" i="21" s="1"/>
  <c r="D76" i="21" s="1"/>
  <c r="D83" i="21" s="1"/>
  <c r="D74" i="21"/>
  <c r="B39" i="21"/>
  <c r="B38" i="21"/>
  <c r="B42" i="21" s="1"/>
  <c r="B77" i="21" s="1"/>
  <c r="C38" i="21" l="1"/>
  <c r="C42" i="21" s="1"/>
  <c r="C77" i="21" s="1"/>
  <c r="I77" i="21" s="1"/>
  <c r="D42" i="21"/>
  <c r="D77" i="21" s="1"/>
  <c r="C39" i="21"/>
  <c r="E43" i="21"/>
  <c r="E45" i="21" s="1"/>
  <c r="E73" i="21" s="1"/>
  <c r="E76" i="21" s="1"/>
  <c r="E83" i="21" s="1"/>
  <c r="B43" i="21"/>
  <c r="B45" i="21" s="1"/>
  <c r="B73" i="21" s="1"/>
  <c r="B76" i="21" s="1"/>
  <c r="B83" i="21" s="1"/>
  <c r="B44" i="21"/>
  <c r="B79" i="21" s="1"/>
  <c r="B82" i="21" s="1"/>
  <c r="E44" i="21"/>
  <c r="E79" i="21" s="1"/>
  <c r="E82" i="21" s="1"/>
  <c r="C43" i="21" l="1"/>
  <c r="C45" i="21" s="1"/>
  <c r="C73" i="21" s="1"/>
  <c r="C44" i="21"/>
  <c r="C79" i="21" s="1"/>
  <c r="D44" i="21"/>
  <c r="D79" i="21" s="1"/>
  <c r="D82" i="21" s="1"/>
  <c r="C82" i="21" l="1"/>
  <c r="I82" i="21" s="1"/>
  <c r="I79" i="21"/>
  <c r="C76" i="21"/>
  <c r="I73" i="21"/>
  <c r="C83" i="21" l="1"/>
  <c r="I83" i="21" s="1"/>
  <c r="I76" i="21"/>
  <c r="I85" i="6" s="1"/>
  <c r="C43" i="15" s="1"/>
</calcChain>
</file>

<file path=xl/sharedStrings.xml><?xml version="1.0" encoding="utf-8"?>
<sst xmlns="http://schemas.openxmlformats.org/spreadsheetml/2006/main" count="931" uniqueCount="458">
  <si>
    <t>V</t>
  </si>
  <si>
    <t>mA</t>
  </si>
  <si>
    <t>Units</t>
  </si>
  <si>
    <t>mW</t>
  </si>
  <si>
    <t>%</t>
  </si>
  <si>
    <t>Internal consumption from Vddd (dig + Xtal + Xclk buffer)</t>
  </si>
  <si>
    <t>Internal consumption from Vdda (ana)</t>
  </si>
  <si>
    <t>Bus voltage</t>
  </si>
  <si>
    <t>Fanin</t>
  </si>
  <si>
    <t>Bus coupler loss in current mirror</t>
  </si>
  <si>
    <t>Bus coupler loss over dVcoupler</t>
  </si>
  <si>
    <t>Overall efficiency of bus coupler</t>
  </si>
  <si>
    <t>Vfilt voltage</t>
  </si>
  <si>
    <t>Inductor resistance</t>
  </si>
  <si>
    <t>ohm</t>
  </si>
  <si>
    <t>Corresponding Vfilt current to support this load</t>
  </si>
  <si>
    <t>Input data</t>
  </si>
  <si>
    <t>External load on DC1</t>
  </si>
  <si>
    <t>Intermediate calculations</t>
  </si>
  <si>
    <t>Estimated vfilt current without external load</t>
  </si>
  <si>
    <t>Estimated vfilt current from external load</t>
  </si>
  <si>
    <t>Estimated total vfilt current with external load</t>
  </si>
  <si>
    <t>Actual vbus current</t>
  </si>
  <si>
    <t>Bus current without external load</t>
  </si>
  <si>
    <t>Conclusions</t>
  </si>
  <si>
    <t xml:space="preserve">Total vbus current </t>
  </si>
  <si>
    <t>Input power</t>
  </si>
  <si>
    <t>Output power</t>
  </si>
  <si>
    <t>Bus coupler efficiency</t>
  </si>
  <si>
    <t>Own consumption</t>
  </si>
  <si>
    <t>Communication %</t>
  </si>
  <si>
    <t>Percentage of '0' during communication</t>
  </si>
  <si>
    <t>Bus coupler calculations</t>
  </si>
  <si>
    <t>Bus coupler output power</t>
  </si>
  <si>
    <t>Bus coupler loss because of communication</t>
  </si>
  <si>
    <t>Loss of bus coupler due to diode / mirror</t>
  </si>
  <si>
    <t>total Vfilt current</t>
  </si>
  <si>
    <t>Overall efficiency (including own consumption)</t>
  </si>
  <si>
    <t>External load on DC2</t>
  </si>
  <si>
    <t>Vbus</t>
  </si>
  <si>
    <t>Vfilt</t>
  </si>
  <si>
    <t>Vdd2</t>
  </si>
  <si>
    <t>VDD2 enable</t>
  </si>
  <si>
    <t>(1 = yes; 0 = no)</t>
  </si>
  <si>
    <t>V20V enable</t>
  </si>
  <si>
    <t>XTAL enable</t>
  </si>
  <si>
    <t>Bus Coupler</t>
  </si>
  <si>
    <t>Unit</t>
  </si>
  <si>
    <t>KNXB</t>
  </si>
  <si>
    <t>Initial Drop</t>
  </si>
  <si>
    <t>Output resistance</t>
  </si>
  <si>
    <t>Ohm</t>
  </si>
  <si>
    <t>Blocks</t>
  </si>
  <si>
    <t>Vdd1</t>
  </si>
  <si>
    <t>Vaux</t>
  </si>
  <si>
    <t>Total</t>
  </si>
  <si>
    <t>Startup supply</t>
  </si>
  <si>
    <t>BG</t>
  </si>
  <si>
    <t>TSD</t>
  </si>
  <si>
    <t>Oscillator</t>
  </si>
  <si>
    <t>XTAL</t>
  </si>
  <si>
    <t>POR VAUX</t>
  </si>
  <si>
    <t>POR VDDA</t>
  </si>
  <si>
    <t>VFILTMON</t>
  </si>
  <si>
    <t>VAUXSW</t>
  </si>
  <si>
    <t>BUSCPL</t>
  </si>
  <si>
    <t>BUSTX</t>
  </si>
  <si>
    <t>BUSRX</t>
  </si>
  <si>
    <t>BUSEQ</t>
  </si>
  <si>
    <t>VBUSMON</t>
  </si>
  <si>
    <t>V20VMON</t>
  </si>
  <si>
    <t>VDD2MON</t>
  </si>
  <si>
    <t>V20V</t>
  </si>
  <si>
    <t>PPOL BIAS</t>
  </si>
  <si>
    <t>HIPO BIAS</t>
  </si>
  <si>
    <t>DC1-OC</t>
  </si>
  <si>
    <t>DC1-OCLV</t>
  </si>
  <si>
    <t>DC1-OV</t>
  </si>
  <si>
    <t>DC1-PRECH</t>
  </si>
  <si>
    <t>DC1-ZCD</t>
  </si>
  <si>
    <t>DC1-VSW</t>
  </si>
  <si>
    <t>DC2-OC</t>
  </si>
  <si>
    <t>DC2-OCLV</t>
  </si>
  <si>
    <t>DC2-OV</t>
  </si>
  <si>
    <t>DC2-PRECH</t>
  </si>
  <si>
    <t>DC2-ZCD</t>
  </si>
  <si>
    <t>DC2-VSW</t>
  </si>
  <si>
    <t>Digital</t>
  </si>
  <si>
    <t>KNX config</t>
  </si>
  <si>
    <t>VDD2 value</t>
  </si>
  <si>
    <t>XTAL enabled (1 = yes; 0 = no)</t>
  </si>
  <si>
    <t>V20V enabled (1 = yes; 0 = no)</t>
  </si>
  <si>
    <t>VDD2 enabled (1 = yes; 0 = no)</t>
  </si>
  <si>
    <t>Internal consumption from Vdd2</t>
  </si>
  <si>
    <t>Internal consumption from Vaux+Vfilt</t>
  </si>
  <si>
    <t>Internal consumption from Vbus</t>
  </si>
  <si>
    <t>Total load current DC1</t>
  </si>
  <si>
    <t>Internal load on DC1</t>
  </si>
  <si>
    <t>DC1 calculations</t>
  </si>
  <si>
    <t>DC1 efficiency</t>
  </si>
  <si>
    <t>DC2 calculations</t>
  </si>
  <si>
    <t>Total load current DC2</t>
  </si>
  <si>
    <t>DC2 efficiency</t>
  </si>
  <si>
    <t>Bus coupler drop</t>
  </si>
  <si>
    <t>Change HS predriver</t>
  </si>
  <si>
    <t>Inductor coil value</t>
  </si>
  <si>
    <t>uH</t>
  </si>
  <si>
    <t>Ripple current DC1, CCM</t>
  </si>
  <si>
    <t>Ripple current DC1, DCM</t>
  </si>
  <si>
    <t>RMS current DC1</t>
  </si>
  <si>
    <t>Inductor loss DC1</t>
  </si>
  <si>
    <t>External OC resistor loss DC1</t>
  </si>
  <si>
    <t>Inductor loss DC2</t>
  </si>
  <si>
    <t>External OC resistor loss DC2</t>
  </si>
  <si>
    <t>Internal losses (switching losses) DC1</t>
  </si>
  <si>
    <t>Internal losses (switching losses) DC2</t>
  </si>
  <si>
    <t>Ripple current DC2, CCM</t>
  </si>
  <si>
    <t>Ripple current DC2, DCM</t>
  </si>
  <si>
    <t>RMS current DC2</t>
  </si>
  <si>
    <t>Efficiency bus coupler + DC1</t>
  </si>
  <si>
    <t>Total Vfilt current</t>
  </si>
  <si>
    <t>Drop at 3/4mA</t>
  </si>
  <si>
    <t>Drop at 24/18mA</t>
  </si>
  <si>
    <t>Current available for energy recovery</t>
  </si>
  <si>
    <t>Current returned to vfilt by energy recovery</t>
  </si>
  <si>
    <t>Final estimated vfilt current with load and communication</t>
  </si>
  <si>
    <t>Energy Recovery enabled</t>
  </si>
  <si>
    <t>Missing current due to communication</t>
  </si>
  <si>
    <t>Estimated required vfilt current with load &amp; comm, no EQ</t>
  </si>
  <si>
    <t>Estimated dVcoupler</t>
  </si>
  <si>
    <t>KNXB(D) value</t>
  </si>
  <si>
    <t>KNXB(SW) value</t>
  </si>
  <si>
    <t>KNXB (D)</t>
  </si>
  <si>
    <t>KNXB (S)</t>
  </si>
  <si>
    <t>Worst case KNXB(SW)</t>
  </si>
  <si>
    <t>Worst case KNXB(D)</t>
  </si>
  <si>
    <t>Bus coupler loss in diode towards substrate</t>
  </si>
  <si>
    <t>FANIN</t>
  </si>
  <si>
    <t>DC2 = 16V</t>
  </si>
  <si>
    <t>DC1 = 3.3V</t>
  </si>
  <si>
    <t>Iload(DC1)</t>
  </si>
  <si>
    <t>Iload(DC2)</t>
  </si>
  <si>
    <t>Fanin 40mA</t>
  </si>
  <si>
    <t>VBUS</t>
  </si>
  <si>
    <t>Fanin 26mA</t>
  </si>
  <si>
    <t>Iload(V20)</t>
  </si>
  <si>
    <t>30V/Fan4</t>
  </si>
  <si>
    <t>28V/Fan4</t>
  </si>
  <si>
    <t>20V/Fan4</t>
  </si>
  <si>
    <t>30V/Fan2.6</t>
  </si>
  <si>
    <t>28V/Fan2.6</t>
  </si>
  <si>
    <t>20V/Fan2.6</t>
  </si>
  <si>
    <t>Ibus (mA)</t>
  </si>
  <si>
    <t>Vbus (V)</t>
  </si>
  <si>
    <t>NCN5121/NCN5130 - Default</t>
  </si>
  <si>
    <t>NCN5121/NCN5130 - DC2 disabled</t>
  </si>
  <si>
    <t>NCN5121/NCN5130 - 20V disabled</t>
  </si>
  <si>
    <t>NCN5121/NCN5130 - DC2, 20V, XTAL disabled</t>
  </si>
  <si>
    <t>NCN5130 - Default with 100% bus communication (all zero's)</t>
  </si>
  <si>
    <t>NCN5121 - Default with 100% bus communication (all zero's)</t>
  </si>
  <si>
    <t>NCN5121/NCN5130 worst case</t>
  </si>
  <si>
    <t>NCN5121/NCN5130 typical</t>
  </si>
  <si>
    <t>Fanin 20mA</t>
  </si>
  <si>
    <t>Fanin 10mA</t>
  </si>
  <si>
    <t>30V/Fan2</t>
  </si>
  <si>
    <t>28V/Fan2</t>
  </si>
  <si>
    <t>20V/Fan2</t>
  </si>
  <si>
    <t>30V/Fan1</t>
  </si>
  <si>
    <t>28V/Fan1</t>
  </si>
  <si>
    <t>20V/Fan1</t>
  </si>
  <si>
    <t>I(VDD1)</t>
  </si>
  <si>
    <t>V(VDD1)</t>
  </si>
  <si>
    <t>I(VDD2)</t>
  </si>
  <si>
    <t>Worst case scenario:</t>
  </si>
  <si>
    <t>Vbus = 20V</t>
  </si>
  <si>
    <t>Vbus = 28V</t>
  </si>
  <si>
    <t>Vbus = 30V</t>
  </si>
  <si>
    <t>No comm</t>
  </si>
  <si>
    <t>RX</t>
  </si>
  <si>
    <t>TX</t>
  </si>
  <si>
    <t>Power (W)</t>
  </si>
  <si>
    <t>100% communication - 50% zero</t>
  </si>
  <si>
    <t>No communication</t>
  </si>
  <si>
    <t>Assumes 35C/W</t>
  </si>
  <si>
    <t>Tjunc-Tamb</t>
  </si>
  <si>
    <t>INPUT</t>
  </si>
  <si>
    <t>KNX Bus</t>
  </si>
  <si>
    <t>Help Me!</t>
  </si>
  <si>
    <t>DC1</t>
  </si>
  <si>
    <t>DC1 Sense Resistor (R2):</t>
  </si>
  <si>
    <t>W</t>
  </si>
  <si>
    <t>DC1 Inductor Value (L1):</t>
  </si>
  <si>
    <r>
      <rPr>
        <b/>
        <sz val="10"/>
        <rFont val="Calibri"/>
        <family val="2"/>
      </rPr>
      <t>µ</t>
    </r>
    <r>
      <rPr>
        <b/>
        <sz val="10"/>
        <rFont val="Arial"/>
        <family val="2"/>
      </rPr>
      <t>H</t>
    </r>
  </si>
  <si>
    <t>DC1 Inductor Resistance (L1):</t>
  </si>
  <si>
    <t>DC2</t>
  </si>
  <si>
    <t>DC2 Enabled:</t>
  </si>
  <si>
    <t>DC2 Voltage:</t>
  </si>
  <si>
    <t>DC2 Load:</t>
  </si>
  <si>
    <t>DC2 Sense Resistor (R3):</t>
  </si>
  <si>
    <t>DC2 Inductor value (L2):</t>
  </si>
  <si>
    <t>DC2 Inductor Resistance (L2):</t>
  </si>
  <si>
    <t>V20V Enabled:</t>
  </si>
  <si>
    <t>V20V Load:</t>
  </si>
  <si>
    <t>Xtal Enabled:</t>
  </si>
  <si>
    <t>Microcontroller Interface:</t>
  </si>
  <si>
    <t>9-bit UART, 19200 bps</t>
  </si>
  <si>
    <t>VBUS1 Voltage</t>
  </si>
  <si>
    <t>Back</t>
  </si>
  <si>
    <t>Defines the percentage of KNX Bus loading. Provide a value between 0 and 100% (steps of 1%). If not known, 30% is a good value for a medium loaded KNX bus. 80% is a high loaded KNX bus.</t>
  </si>
  <si>
    <t>Communication % of '0'</t>
  </si>
  <si>
    <t>Defines the percentage of zero's in a KNX telegram. Provide a value between 0 and 100% (steps of 1%).</t>
  </si>
  <si>
    <t>DC1 Load</t>
  </si>
  <si>
    <t>DC1 Sense Resistor</t>
  </si>
  <si>
    <r>
      <t xml:space="preserve">The sense resistor of the fixed (3,3V) DC-DC Converter (DC1). The advised value is 1 </t>
    </r>
    <r>
      <rPr>
        <sz val="10"/>
        <rFont val="Symbol"/>
        <family val="1"/>
        <charset val="2"/>
      </rPr>
      <t>W</t>
    </r>
    <r>
      <rPr>
        <sz val="10"/>
        <rFont val="Arial"/>
        <family val="2"/>
      </rPr>
      <t xml:space="preserve"> but the value can be increased up to 10 </t>
    </r>
    <r>
      <rPr>
        <sz val="10"/>
        <rFont val="Symbol"/>
        <family val="1"/>
        <charset val="2"/>
      </rPr>
      <t>W</t>
    </r>
    <r>
      <rPr>
        <sz val="10"/>
        <rFont val="Arial"/>
        <family val="2"/>
      </rPr>
      <t xml:space="preserve"> (steps of 1 </t>
    </r>
    <r>
      <rPr>
        <sz val="10"/>
        <rFont val="Symbol"/>
        <family val="1"/>
        <charset val="2"/>
      </rPr>
      <t>W</t>
    </r>
    <r>
      <rPr>
        <sz val="10"/>
        <rFont val="Arial"/>
        <family val="2"/>
      </rPr>
      <t>). Increasing the sense resistor will result in a lower maximum load that can be supplied by the converter.</t>
    </r>
  </si>
  <si>
    <t>DC1 Inductor Value</t>
  </si>
  <si>
    <r>
      <t xml:space="preserve">The inductor value (in </t>
    </r>
    <r>
      <rPr>
        <sz val="10"/>
        <rFont val="Calibri"/>
        <family val="2"/>
      </rPr>
      <t>µ</t>
    </r>
    <r>
      <rPr>
        <sz val="10"/>
        <rFont val="Arial"/>
        <family val="2"/>
      </rPr>
      <t>H) of the fixed (3,3V) DC-DC Converter (DC1). A value between 1µH and 1mH can be filled in.</t>
    </r>
  </si>
  <si>
    <t>DC1 Inductor Resistance</t>
  </si>
  <si>
    <r>
      <t xml:space="preserve">The inductor resistance value (in </t>
    </r>
    <r>
      <rPr>
        <sz val="10"/>
        <rFont val="Symbol"/>
        <family val="1"/>
        <charset val="2"/>
      </rPr>
      <t>W</t>
    </r>
    <r>
      <rPr>
        <sz val="10"/>
        <rFont val="Arial"/>
        <family val="2"/>
      </rPr>
      <t xml:space="preserve">) of the fixed (3,3V) DC-DC Converter (DC1). A value between 1 and 10 </t>
    </r>
    <r>
      <rPr>
        <sz val="10"/>
        <rFont val="Symbol"/>
        <family val="1"/>
        <charset val="2"/>
      </rPr>
      <t>W</t>
    </r>
    <r>
      <rPr>
        <sz val="10"/>
        <rFont val="Arial"/>
        <family val="2"/>
      </rPr>
      <t xml:space="preserve"> can be filled in.</t>
    </r>
  </si>
  <si>
    <t>DC2 Enable</t>
  </si>
  <si>
    <t>DC2 Voltage</t>
  </si>
  <si>
    <t>DC2 Load</t>
  </si>
  <si>
    <t>The current supplied by the adjustable DC-DC Converter (DC2). This value is ignored if DC2 is disabled. A value between 0 and 100mA can be filled in (steps of 0,1mA).</t>
  </si>
  <si>
    <t>DC2 Sense Resistor</t>
  </si>
  <si>
    <r>
      <t xml:space="preserve">The sense resistor of the adjustable DC-DC Converter (DC2). The advised value is 1 </t>
    </r>
    <r>
      <rPr>
        <sz val="10"/>
        <rFont val="Symbol"/>
        <family val="1"/>
        <charset val="2"/>
      </rPr>
      <t>W</t>
    </r>
    <r>
      <rPr>
        <sz val="10"/>
        <rFont val="Arial"/>
        <family val="2"/>
      </rPr>
      <t xml:space="preserve"> but the value can be increased up to 10 </t>
    </r>
    <r>
      <rPr>
        <sz val="10"/>
        <rFont val="Symbol"/>
        <family val="1"/>
        <charset val="2"/>
      </rPr>
      <t>W</t>
    </r>
    <r>
      <rPr>
        <sz val="10"/>
        <rFont val="Arial"/>
        <family val="2"/>
      </rPr>
      <t xml:space="preserve"> (steps of 1 </t>
    </r>
    <r>
      <rPr>
        <sz val="10"/>
        <rFont val="Symbol"/>
        <family val="1"/>
        <charset val="2"/>
      </rPr>
      <t>W</t>
    </r>
    <r>
      <rPr>
        <sz val="10"/>
        <rFont val="Arial"/>
        <family val="2"/>
      </rPr>
      <t>). Increasing the sense resistor will result in a lower maximum load that can be supplied by the converter.</t>
    </r>
  </si>
  <si>
    <t>DC2 Inductor Value</t>
  </si>
  <si>
    <r>
      <t xml:space="preserve">The inductor value (in </t>
    </r>
    <r>
      <rPr>
        <sz val="10"/>
        <rFont val="Calibri"/>
        <family val="2"/>
      </rPr>
      <t>µ</t>
    </r>
    <r>
      <rPr>
        <sz val="10"/>
        <rFont val="Arial"/>
        <family val="2"/>
      </rPr>
      <t>H) of the adjustable DC-DC Converter (DC2). A value between 1µH and 1mH can be filled in.</t>
    </r>
  </si>
  <si>
    <t>DC2 Inductor Resistance</t>
  </si>
  <si>
    <r>
      <t xml:space="preserve">The inductor resistance value (in </t>
    </r>
    <r>
      <rPr>
        <sz val="10"/>
        <rFont val="Symbol"/>
        <family val="1"/>
        <charset val="2"/>
      </rPr>
      <t>W</t>
    </r>
    <r>
      <rPr>
        <sz val="10"/>
        <rFont val="Arial"/>
        <family val="2"/>
      </rPr>
      <t xml:space="preserve">) of the adjustable DC-DC Converter (DC2). A value between 1 and 10 </t>
    </r>
    <r>
      <rPr>
        <sz val="10"/>
        <rFont val="Symbol"/>
        <family val="1"/>
        <charset val="2"/>
      </rPr>
      <t>W</t>
    </r>
    <r>
      <rPr>
        <sz val="10"/>
        <rFont val="Arial"/>
        <family val="2"/>
      </rPr>
      <t xml:space="preserve"> can be filled in.</t>
    </r>
  </si>
  <si>
    <t>V20V Enable</t>
  </si>
  <si>
    <t>V20V Load</t>
  </si>
  <si>
    <t>Xtal Enabled</t>
  </si>
  <si>
    <t>Interface</t>
  </si>
  <si>
    <t>Output</t>
  </si>
  <si>
    <t>Fan-in resistor</t>
  </si>
  <si>
    <r>
      <t>K</t>
    </r>
    <r>
      <rPr>
        <b/>
        <sz val="12"/>
        <rFont val="Calibri"/>
        <family val="2"/>
      </rPr>
      <t>Ω</t>
    </r>
  </si>
  <si>
    <t>NC</t>
  </si>
  <si>
    <t>Total KNX Bus Current:</t>
  </si>
  <si>
    <t>DC1 Load is above maximum allowed!</t>
  </si>
  <si>
    <t>DC1 Efficiency:</t>
  </si>
  <si>
    <t>DC2 Efficiency:</t>
  </si>
  <si>
    <t>R4:</t>
  </si>
  <si>
    <r>
      <t>k</t>
    </r>
    <r>
      <rPr>
        <b/>
        <sz val="10"/>
        <rFont val="Calibri"/>
        <family val="2"/>
      </rPr>
      <t>Ω</t>
    </r>
  </si>
  <si>
    <t>R5:</t>
  </si>
  <si>
    <t>FaninResistor</t>
  </si>
  <si>
    <t>FaninValue</t>
  </si>
  <si>
    <t>KNX Bus Voltage</t>
  </si>
  <si>
    <t>KNX Bus communication</t>
  </si>
  <si>
    <t>% of '0':</t>
  </si>
  <si>
    <t>Component</t>
  </si>
  <si>
    <t>NCN5130</t>
  </si>
  <si>
    <t>Startup KNX Bus current limit</t>
  </si>
  <si>
    <t>OUTPUT (Typical)</t>
  </si>
  <si>
    <t>ILS2</t>
  </si>
  <si>
    <t>ILR2</t>
  </si>
  <si>
    <t>ILS3</t>
  </si>
  <si>
    <t>ILR3</t>
  </si>
  <si>
    <t>NCN5121</t>
  </si>
  <si>
    <t>V20V current limit</t>
  </si>
  <si>
    <t>V20VL</t>
  </si>
  <si>
    <t>V20VS</t>
  </si>
  <si>
    <t>V20V limits</t>
  </si>
  <si>
    <t>Current Limit Code (register)</t>
  </si>
  <si>
    <t>Current Limit Code</t>
  </si>
  <si>
    <t xml:space="preserve">A 3 bit register to adjust the limit of the 20V LDO. Minimum value is 0 (0b000) to 7 (0b111). Default value is 4 (0b100) </t>
  </si>
  <si>
    <t>DC2 Resistance Serie</t>
  </si>
  <si>
    <t>Serie of the resistance to be used to compute the value for R4/R5. The precision of the resistor will impact the value/precision of Vdd2</t>
  </si>
  <si>
    <t>Vfilt_Voltage</t>
  </si>
  <si>
    <t>R5</t>
  </si>
  <si>
    <t>Target</t>
  </si>
  <si>
    <t>Vdd2 Real</t>
  </si>
  <si>
    <t>ResistorSeries</t>
  </si>
  <si>
    <t>E6 (20%)</t>
  </si>
  <si>
    <t>E12 (10%)</t>
  </si>
  <si>
    <t>E24 (5%)</t>
  </si>
  <si>
    <t>E48 (2%)</t>
  </si>
  <si>
    <t>E96 (1%)</t>
  </si>
  <si>
    <t>Mantis</t>
  </si>
  <si>
    <t>R4</t>
  </si>
  <si>
    <t>Real DC2 Voltage (Typ)</t>
  </si>
  <si>
    <t>DC2 Resistors Serie</t>
  </si>
  <si>
    <t>9-bit UART, 38400 bps</t>
  </si>
  <si>
    <t>8-bit UART, 19200 bps</t>
  </si>
  <si>
    <t>8-bit UART, 38400 bps</t>
  </si>
  <si>
    <t>Analog</t>
  </si>
  <si>
    <t>SPI 125k</t>
  </si>
  <si>
    <t>SPI 500k</t>
  </si>
  <si>
    <t>IfType</t>
  </si>
  <si>
    <t>IfVal</t>
  </si>
  <si>
    <t>The used interface will have no influence on the efficiency calculations. Changing the interface will only update the schematic to display how the pins should be connected for the selected interface.</t>
  </si>
  <si>
    <t xml:space="preserve">Interface </t>
  </si>
  <si>
    <t>Part</t>
  </si>
  <si>
    <t>Function</t>
  </si>
  <si>
    <t>Tolerance</t>
  </si>
  <si>
    <t>C1</t>
  </si>
  <si>
    <t>AC coupling capacitor</t>
  </si>
  <si>
    <t>+/-20%</t>
  </si>
  <si>
    <t>nF</t>
  </si>
  <si>
    <t>C2</t>
  </si>
  <si>
    <t>Energy Conservation capacitor</t>
  </si>
  <si>
    <t>+/-10%</t>
  </si>
  <si>
    <t>C3</t>
  </si>
  <si>
    <t>Storage &amp; filter capacitor</t>
  </si>
  <si>
    <t>C4</t>
  </si>
  <si>
    <t>HF rejection at VDDD</t>
  </si>
  <si>
    <t>C5</t>
  </si>
  <si>
    <t>HF rejection at VDDA</t>
  </si>
  <si>
    <t>C6</t>
  </si>
  <si>
    <t>Load Capacitor V20V</t>
  </si>
  <si>
    <t>uF</t>
  </si>
  <si>
    <t>C7</t>
  </si>
  <si>
    <t>Load Capacitor VDD1</t>
  </si>
  <si>
    <t>C8</t>
  </si>
  <si>
    <t>Load Capacitor VDD2</t>
  </si>
  <si>
    <t>C9</t>
  </si>
  <si>
    <t>Bus current slope capacitor</t>
  </si>
  <si>
    <t>R1</t>
  </si>
  <si>
    <t>Tx shunt resistor</t>
  </si>
  <si>
    <t>Ω</t>
  </si>
  <si>
    <t>R2</t>
  </si>
  <si>
    <t>DC1 sensing resistor</t>
  </si>
  <si>
    <t>+/-5%</t>
  </si>
  <si>
    <t>R3</t>
  </si>
  <si>
    <t>DC2 sensing resistor</t>
  </si>
  <si>
    <t>DC2 voltage divider</t>
  </si>
  <si>
    <t>KΩ</t>
  </si>
  <si>
    <t>R6</t>
  </si>
  <si>
    <t>+/-1%</t>
  </si>
  <si>
    <t>L1</t>
  </si>
  <si>
    <t>DC1 Coil</t>
  </si>
  <si>
    <t>L2</t>
  </si>
  <si>
    <t>DC2 Coil</t>
  </si>
  <si>
    <t>D1</t>
  </si>
  <si>
    <t>TVS</t>
  </si>
  <si>
    <t>1SAM40CA</t>
  </si>
  <si>
    <t>D2</t>
  </si>
  <si>
    <t>Reverse polarity protection diode</t>
  </si>
  <si>
    <t>SS16</t>
  </si>
  <si>
    <t>Q1</t>
  </si>
  <si>
    <t>Crystal oscillator</t>
  </si>
  <si>
    <t>50ppm</t>
  </si>
  <si>
    <t>MHz</t>
  </si>
  <si>
    <t>Comments</t>
  </si>
  <si>
    <t>50V Ceramic</t>
  </si>
  <si>
    <t>6.3V Ceramic</t>
  </si>
  <si>
    <r>
      <t xml:space="preserve">35V Ceramic ESR &lt; 2 </t>
    </r>
    <r>
      <rPr>
        <sz val="10"/>
        <rFont val="Calibri"/>
        <family val="2"/>
      </rPr>
      <t>Ω</t>
    </r>
  </si>
  <si>
    <r>
      <t xml:space="preserve">6.3V Ceramic ESR &lt; 0.1 </t>
    </r>
    <r>
      <rPr>
        <sz val="10"/>
        <rFont val="Calibri"/>
        <family val="2"/>
      </rPr>
      <t>Ω</t>
    </r>
  </si>
  <si>
    <t>50V; ceramic</t>
  </si>
  <si>
    <t>1W</t>
  </si>
  <si>
    <t>&gt; 0.025 mW</t>
  </si>
  <si>
    <t>Xtal load capacitor</t>
  </si>
  <si>
    <t>pF</t>
  </si>
  <si>
    <t>C10</t>
  </si>
  <si>
    <t>C11</t>
  </si>
  <si>
    <r>
      <t xml:space="preserve">Ceramic; ESR &lt; 0,1 </t>
    </r>
    <r>
      <rPr>
        <sz val="10"/>
        <rFont val="Symbol"/>
        <family val="1"/>
        <charset val="2"/>
      </rPr>
      <t>W</t>
    </r>
  </si>
  <si>
    <t>Next to each input parameter, a Help Me! Link is foreseen. Click this link if more help on this specific parameter is required.</t>
  </si>
  <si>
    <t>If the KNX Bus loading goes above the maximum allowed loading (IBUS max), the result will color red to indicate that the application is not in line with the KNX Specification.</t>
  </si>
  <si>
    <t>Lower the DC-DC Converter (DC1 and/or DC2) loading and/or 20V Regulator (V20V) loading to lower the KNX bus loading.</t>
  </si>
  <si>
    <t>Disclaimer Agreement:</t>
  </si>
  <si>
    <t>Users of this calculator must accept this disclaimer of warranty:</t>
  </si>
  <si>
    <t>1. Copyright</t>
  </si>
  <si>
    <t>You acknowledge that title and full ownership rights to the calculator will remain the exclusive property of ON Semiconductor and you will not acquire any rights to the calculator.</t>
  </si>
  <si>
    <t>2. Limitations of Using, Copying, and Modifying the calculator</t>
  </si>
  <si>
    <t>You must not copy or modify the calculator.</t>
  </si>
  <si>
    <t>3. Decompiling, Disassembling, or Reverse Engineering</t>
  </si>
  <si>
    <t>You are NOT permitted to study the source code of this calculator by ANY way and for ANY reason. You are NOT allowed to modify, decompile, disassemble or make reverse engineering on this calculator.</t>
  </si>
  <si>
    <t>4. Transfer</t>
  </si>
  <si>
    <t xml:space="preserve">You are NOT permitted to sell or lease this calculator by any means. You are NOT allowed to make this calculator available for download on any website outside the ON Semiconductor website. </t>
  </si>
  <si>
    <t>It is allowed to provide a direct link on your website to this calculator available on the ON Semiconductor website.</t>
  </si>
  <si>
    <t>5. Disclaimer of Warranty</t>
  </si>
  <si>
    <t>This calculator is provided as-is without warranty of any kind.</t>
  </si>
  <si>
    <t xml:space="preserve">In no event will ON Semiconductor be liable for any indirect, incidental, special or consequential damages or for any lost profits, lost savings, lost revenues or lost data arising from or relating to this calculator or this agreement, </t>
  </si>
  <si>
    <t>even if ON Semiconductor has been advised of the possibility of such damage.</t>
  </si>
  <si>
    <t>One must always verify the results given by this calculator with his own real life application.</t>
  </si>
  <si>
    <t>Calculator Manual</t>
  </si>
  <si>
    <t>Although great effort has been made to make this an easy-to-use calculator, it's advised to first read the datasheets and application note ANDxxxx/D (see www.onsemi.com) before using this calculator.</t>
  </si>
  <si>
    <t>Standard EIA Decade Resistor Values</t>
  </si>
  <si>
    <t>0.5%, 0.25%, 0.1%</t>
  </si>
  <si>
    <t>E6</t>
  </si>
  <si>
    <t>E12</t>
  </si>
  <si>
    <t>E24</t>
  </si>
  <si>
    <t>E48</t>
  </si>
  <si>
    <t>E96</t>
  </si>
  <si>
    <t>E192</t>
  </si>
  <si>
    <t>End Values Required for Processing</t>
  </si>
  <si>
    <t>R6 Value</t>
  </si>
  <si>
    <t>Coupler Drop</t>
  </si>
  <si>
    <t>Voltage Coupler Drop</t>
  </si>
  <si>
    <t>Incrementam Efficiency</t>
  </si>
  <si>
    <t>VBUS Validation</t>
  </si>
  <si>
    <t>Total Incremental Efficiency:</t>
  </si>
  <si>
    <t>Cc4</t>
  </si>
  <si>
    <t>Cc7</t>
  </si>
  <si>
    <t>mC</t>
  </si>
  <si>
    <t>Startup time</t>
  </si>
  <si>
    <t>System startup time</t>
  </si>
  <si>
    <t>s</t>
  </si>
  <si>
    <t>Cstartup</t>
  </si>
  <si>
    <t>12.5 to 4000</t>
  </si>
  <si>
    <t>mF</t>
  </si>
  <si>
    <t>inferieur a 121 mC</t>
  </si>
  <si>
    <t>Limite haute C4</t>
  </si>
  <si>
    <t>Islope</t>
  </si>
  <si>
    <t>C</t>
  </si>
  <si>
    <t>Limite basse C4</t>
  </si>
  <si>
    <t>twar</t>
  </si>
  <si>
    <t xml:space="preserve">dIstep </t>
  </si>
  <si>
    <t>dVf</t>
  </si>
  <si>
    <r>
      <rPr>
        <b/>
        <sz val="12"/>
        <rFont val="Symbol"/>
        <family val="1"/>
        <charset val="2"/>
      </rPr>
      <t>D</t>
    </r>
    <r>
      <rPr>
        <b/>
        <sz val="10"/>
        <rFont val="Arial"/>
        <family val="2"/>
      </rPr>
      <t>Istep</t>
    </r>
  </si>
  <si>
    <t>Twarning</t>
  </si>
  <si>
    <t>ms</t>
  </si>
  <si>
    <t>mA/ms</t>
  </si>
  <si>
    <t>Current Slew rate</t>
  </si>
  <si>
    <t>DYNAMIC BEHAVIOR</t>
  </si>
  <si>
    <t>Storage &amp; Filter capacitor (C4)</t>
  </si>
  <si>
    <t>Ibus current step</t>
  </si>
  <si>
    <t>OUTPUT</t>
  </si>
  <si>
    <t>Variation of Vfilt</t>
  </si>
  <si>
    <t>Standby time</t>
  </si>
  <si>
    <t>The VBUS1 voltage is the voltage on the VBUS1-pin of NCN51xx. If a reverse polarity protection diode is foreseen on the board, VBUS1 voltage is equal to the KNX Bus Voltage minus the diode voltage drop.
The VBUS1 voltage should be a value between 20 and 30V (steps of 1V). Use the drop-down list to select the VBUS1 voltage.</t>
  </si>
  <si>
    <r>
      <t xml:space="preserve">The additional load supplied by the fixed (3,3V) DC-DC Converter (DC1). A value between 0 and 100mA can be filled in (steps of 0,1mA). </t>
    </r>
    <r>
      <rPr>
        <sz val="10"/>
        <color rgb="FFFF0000"/>
        <rFont val="Arial"/>
        <family val="2"/>
      </rPr>
      <t>This value should NOT contain the load used by NCN51xx.</t>
    </r>
    <r>
      <rPr>
        <sz val="10"/>
        <rFont val="Arial"/>
        <family val="2"/>
      </rPr>
      <t xml:space="preserve"> If no additional load is connected to DC1, 0mA should be filled in.</t>
    </r>
  </si>
  <si>
    <t>Select Yes if the adjustable DC-DC Converter (DC2) is used. If No is selected, bit 5 of the Analog Control Register 0 (DC2EN) should be set to zero ('0). Connect VDD2MV-pin to 3,3V and VSS2-pin to ground if DC2 is not used. When set to No, the input parameters DC2 Voltage and DC2 Load will be ignored. See NCN51xx datasheet for more information on DC2.</t>
  </si>
  <si>
    <t>Select Yes if the 20V regulator (V20V) is used. If No is selected, bit 6 of the Analog Control Register 0 (V20VEN) should be set to zero ('0) and V20V-pin should be connected to VFILT-pin. When set to No, the input parameter V20V Load will be ignored. See NCN51xx datasheet for more information on the 20V regulator.</t>
  </si>
  <si>
    <t>The output displays 11 results. Those results are typical value (not max/min):
   - KNX Bus current consumption
   - KNX Bus Current Limitation at startup
   - KNX Bus Current Limitation in established mode
   - V20V LDO Current limit
   - Efficiency of the fixed DC-DC Converter (DC1)
   - Efficiency of the adjustable DC-DC Converter (DC2) (only valid if DC2 is enabled)
   - Total Incremental Efficiency : Conversation rate of input power  to output power at operating point
   - Typical value for Vdd2 depending on precision of R4/R5 (Resistors Serie)
   - R4/R5 values on selected serie. Values are choosed to be minimize the offset to Vdd2 target.
   - Voltage drop at bus coupling
The results are based on the inputs given and updated in real-time when one of the inputs is changed.</t>
  </si>
  <si>
    <t>Storage and Filter capacitor</t>
  </si>
  <si>
    <t>Changing this value will impact :</t>
  </si>
  <si>
    <t>- The undershoot on Vfilt.</t>
  </si>
  <si>
    <t>- The time between SAVEB and RESETB during power-down phase</t>
  </si>
  <si>
    <t>Current slew rate</t>
  </si>
  <si>
    <t>C4 will define the maximum slew rate for the current variation on the bus. It is defined in mA per ms</t>
  </si>
  <si>
    <t>Load change will cause dynamic undershoot on Vfilt. The higher C4 is, the lower this undershoot is</t>
  </si>
  <si>
    <t>Standby Time</t>
  </si>
  <si>
    <t>Defines the duration betwwen SAVEB and RESETB at powerdown. SAVEB flag can be used to save data on uC before power-off.</t>
  </si>
  <si>
    <t>Help me!</t>
  </si>
  <si>
    <t>help me!</t>
  </si>
  <si>
    <t>Define the maximum dynamic variation of current on the bus</t>
  </si>
  <si>
    <t>uC Clock output</t>
  </si>
  <si>
    <t>uC Clock Output</t>
  </si>
  <si>
    <t>No influence on calcultaions. Only for the schematic. Option available for NCN5121 and NCN5130. Select frequency of the clock available on pin XCLK (32). Either 8 or 16 MHz. This will define the strapping of pin 21</t>
  </si>
  <si>
    <t>Self consumption correction factor</t>
  </si>
  <si>
    <t>Bus Voltage</t>
  </si>
  <si>
    <t>Factor</t>
  </si>
  <si>
    <t>35V Ceramic</t>
  </si>
  <si>
    <t>1SMA40CA</t>
  </si>
  <si>
    <t>FA-238</t>
  </si>
  <si>
    <t>NCN5110</t>
  </si>
  <si>
    <t>ILR4</t>
  </si>
  <si>
    <t>ILS4</t>
  </si>
  <si>
    <t>The NCN51xx Calculator can be used to calculate the KNX bus load and DC-DC converter efficiency when using NCN5110/21/30</t>
  </si>
  <si>
    <t xml:space="preserve">On the Worksheet 'Basic' one needs to fill in some input data. Filling in the correct input values is important to get correct results. </t>
  </si>
  <si>
    <t>If one of the input parameters turns red, this indicates that this value is not valid or could give issues in a real application. See datasheet for more details if this is the case.</t>
  </si>
  <si>
    <t>The calculator will calculate in real-time the DC-DC Converter efficiency and KNX bus loading. These results are based on the input data. Click on the Help Me! link for more details about the results.</t>
  </si>
  <si>
    <t>This pin sets the maximum current that can be drawn from the bus. For the NCN5121, the fan-in pin can only be set to ground or floating. For the NCN5130 a resistor, R6, can be connected</t>
  </si>
  <si>
    <t>The voltage of the adjustable DC-DC Converter (DC2). This value should be between 1.2V to 21V.
If DC2 is disabled, this value will be ignored. The value will also color red if the voltage is set too high compared to the VFILT voltage (see NCN5110/21/30 datasheet for more info).</t>
  </si>
  <si>
    <t>The current supplied by the 20V regulator (V20V). For the NCN5121/30 the maximum value depends on the fan-in model &amp; register. This value has no meaning if V20V is disabled.</t>
  </si>
  <si>
    <t>Select Yes if a crystal is connected to the NCN51xx. Select No if an external clock is supplied (e.g. by the external microcontroller). If No is selected, bit 4 of the Analog Control Register 0 (XCLKEN) should be set to zero ('0) and XSEL-pin should be high (3,3V). See NCN51xx datasheet for more information on the clock generator.</t>
  </si>
  <si>
    <t>Typical value for C4 is 100 uF. For  theNCN5121 the allowed range is 80 to 4000 uF. For the NCN5130/10 the allowed range is 12.5 to 4000 uF.</t>
  </si>
  <si>
    <t>KNX Calculator V1,0</t>
  </si>
  <si>
    <t>No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</si>
</sst>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
  </numFmts>
  <fonts count="31" x14ac:knownFonts="1">
    <font>
      <sz val="10"/>
      <name val="Arial"/>
    </font>
    <font>
      <sz val="11"/>
      <color theme="1"/>
      <name val="Calibri"/>
      <family val="2"/>
      <scheme val="minor"/>
    </font>
    <font>
      <sz val="11"/>
      <color theme="1"/>
      <name val="Calibri"/>
      <family val="2"/>
      <scheme val="minor"/>
    </font>
    <font>
      <b/>
      <sz val="10"/>
      <name val="Arial"/>
      <family val="2"/>
    </font>
    <font>
      <u/>
      <sz val="10"/>
      <color indexed="12"/>
      <name val="Arial"/>
      <family val="2"/>
    </font>
    <font>
      <sz val="10"/>
      <name val="Arial"/>
      <family val="2"/>
    </font>
    <font>
      <sz val="10"/>
      <name val="Arial"/>
      <family val="2"/>
    </font>
    <font>
      <b/>
      <sz val="11"/>
      <color theme="0"/>
      <name val="Calibri"/>
      <family val="2"/>
      <scheme val="minor"/>
    </font>
    <font>
      <b/>
      <sz val="11"/>
      <color theme="1"/>
      <name val="Calibri"/>
      <family val="2"/>
      <scheme val="minor"/>
    </font>
    <font>
      <b/>
      <sz val="11"/>
      <color rgb="FFC00000"/>
      <name val="Calibri"/>
      <family val="2"/>
      <scheme val="minor"/>
    </font>
    <font>
      <b/>
      <u/>
      <sz val="10"/>
      <name val="Arial"/>
      <family val="2"/>
    </font>
    <font>
      <b/>
      <u/>
      <sz val="14"/>
      <name val="Arial"/>
      <family val="2"/>
    </font>
    <font>
      <sz val="10"/>
      <name val="Symbol"/>
      <family val="1"/>
      <charset val="2"/>
    </font>
    <font>
      <b/>
      <sz val="10"/>
      <color rgb="FFFF0000"/>
      <name val="Arial"/>
      <family val="2"/>
    </font>
    <font>
      <b/>
      <sz val="10"/>
      <name val="Calibri"/>
      <family val="2"/>
    </font>
    <font>
      <b/>
      <sz val="10"/>
      <name val="Symbol"/>
      <family val="1"/>
      <charset val="2"/>
    </font>
    <font>
      <b/>
      <sz val="10"/>
      <color theme="0"/>
      <name val="Arial"/>
      <family val="2"/>
    </font>
    <font>
      <b/>
      <sz val="10"/>
      <color rgb="FF00B050"/>
      <name val="Arial"/>
      <family val="2"/>
    </font>
    <font>
      <u/>
      <sz val="10"/>
      <color theme="10"/>
      <name val="Arial"/>
      <family val="2"/>
    </font>
    <font>
      <sz val="10"/>
      <name val="Calibri"/>
      <family val="2"/>
    </font>
    <font>
      <sz val="10"/>
      <color rgb="FFFF0000"/>
      <name val="Arial"/>
      <family val="2"/>
    </font>
    <font>
      <b/>
      <sz val="12"/>
      <name val="Calibri"/>
      <family val="2"/>
    </font>
    <font>
      <sz val="10"/>
      <color theme="0"/>
      <name val="Arial"/>
      <family val="2"/>
    </font>
    <font>
      <sz val="11"/>
      <name val="Calibri"/>
      <family val="2"/>
    </font>
    <font>
      <b/>
      <u/>
      <sz val="18"/>
      <name val="Arial"/>
      <family val="2"/>
    </font>
    <font>
      <b/>
      <u/>
      <sz val="8"/>
      <name val="Arial"/>
      <family val="2"/>
    </font>
    <font>
      <sz val="8"/>
      <name val="Arial"/>
      <family val="2"/>
    </font>
    <font>
      <sz val="10"/>
      <color rgb="FF000000"/>
      <name val="Arial"/>
      <family val="2"/>
    </font>
    <font>
      <b/>
      <sz val="16"/>
      <color theme="1"/>
      <name val="Calibri"/>
      <family val="2"/>
      <scheme val="minor"/>
    </font>
    <font>
      <b/>
      <sz val="12"/>
      <name val="Symbol"/>
      <family val="1"/>
      <charset val="2"/>
    </font>
    <font>
      <sz val="8"/>
      <color rgb="FF000000"/>
      <name val="Tahoma"/>
      <family val="2"/>
    </font>
  </fonts>
  <fills count="15">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0070C0"/>
        <bgColor indexed="64"/>
      </patternFill>
    </fill>
    <fill>
      <patternFill patternType="solid">
        <fgColor rgb="FFFFFF00"/>
        <bgColor indexed="64"/>
      </patternFill>
    </fill>
    <fill>
      <patternFill patternType="solid">
        <fgColor theme="9"/>
        <bgColor indexed="64"/>
      </patternFill>
    </fill>
    <fill>
      <patternFill patternType="solid">
        <fgColor theme="0"/>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4" tint="0.5999938962981048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medium">
        <color theme="0" tint="-0.249977111117893"/>
      </top>
      <bottom style="thin">
        <color theme="0" tint="-0.249977111117893"/>
      </bottom>
      <diagonal/>
    </border>
    <border>
      <left style="thin">
        <color theme="0" tint="-0.249977111117893"/>
      </left>
      <right style="medium">
        <color theme="0" tint="-0.249977111117893"/>
      </right>
      <top style="medium">
        <color theme="0" tint="-0.249977111117893"/>
      </top>
      <bottom style="thin">
        <color theme="0" tint="-0.249977111117893"/>
      </bottom>
      <diagonal/>
    </border>
    <border>
      <left style="thin">
        <color theme="0" tint="-0.249977111117893"/>
      </left>
      <right style="medium">
        <color theme="0" tint="-0.249977111117893"/>
      </right>
      <top style="medium">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diagonal/>
    </border>
    <border>
      <left style="medium">
        <color theme="0" tint="-0.249977111117893"/>
      </left>
      <right style="thin">
        <color theme="0" tint="-0.249977111117893"/>
      </right>
      <top style="medium">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medium">
        <color theme="0" tint="-0.249977111117893"/>
      </bottom>
      <diagonal/>
    </border>
    <border>
      <left style="medium">
        <color theme="0" tint="-0.249977111117893"/>
      </left>
      <right style="thin">
        <color theme="0" tint="-0.249977111117893"/>
      </right>
      <top/>
      <bottom style="medium">
        <color theme="0" tint="-0.249977111117893"/>
      </bottom>
      <diagonal/>
    </border>
    <border>
      <left style="thin">
        <color theme="0" tint="-0.249977111117893"/>
      </left>
      <right style="thin">
        <color theme="0" tint="-0.249977111117893"/>
      </right>
      <top/>
      <bottom style="medium">
        <color theme="0" tint="-0.249977111117893"/>
      </bottom>
      <diagonal/>
    </border>
    <border>
      <left style="thin">
        <color theme="0" tint="-0.249977111117893"/>
      </left>
      <right style="thin">
        <color theme="0" tint="-0.249977111117893"/>
      </right>
      <top style="medium">
        <color theme="0" tint="-0.249977111117893"/>
      </top>
      <bottom style="medium">
        <color theme="0" tint="-0.249977111117893"/>
      </bottom>
      <diagonal/>
    </border>
    <border>
      <left style="thin">
        <color theme="0" tint="-0.249977111117893"/>
      </left>
      <right/>
      <top style="medium">
        <color theme="0" tint="-0.249977111117893"/>
      </top>
      <bottom style="medium">
        <color theme="0" tint="-0.249977111117893"/>
      </bottom>
      <diagonal/>
    </border>
    <border>
      <left/>
      <right style="medium">
        <color theme="0" tint="-0.249977111117893"/>
      </right>
      <top style="medium">
        <color theme="0" tint="-0.249977111117893"/>
      </top>
      <bottom style="medium">
        <color theme="0" tint="-0.249977111117893"/>
      </bottom>
      <diagonal/>
    </border>
    <border>
      <left style="medium">
        <color theme="0" tint="-0.249977111117893"/>
      </left>
      <right style="thin">
        <color theme="0" tint="-0.249977111117893"/>
      </right>
      <top style="medium">
        <color theme="0" tint="-0.249977111117893"/>
      </top>
      <bottom/>
      <diagonal/>
    </border>
    <border>
      <left style="thin">
        <color theme="0" tint="-0.249977111117893"/>
      </left>
      <right style="medium">
        <color theme="0" tint="-0.249977111117893"/>
      </right>
      <top style="thin">
        <color theme="0" tint="-0.249977111117893"/>
      </top>
      <bottom/>
      <diagonal/>
    </border>
    <border>
      <left style="medium">
        <color theme="0" tint="-0.249977111117893"/>
      </left>
      <right style="thin">
        <color theme="0" tint="-0.249977111117893"/>
      </right>
      <top/>
      <bottom/>
      <diagonal/>
    </border>
    <border>
      <left style="thin">
        <color indexed="64"/>
      </left>
      <right/>
      <top/>
      <bottom/>
      <diagonal/>
    </border>
    <border>
      <left style="thin">
        <color theme="0" tint="-0.249977111117893"/>
      </left>
      <right style="medium">
        <color theme="0" tint="-0.249977111117893"/>
      </right>
      <top/>
      <bottom style="medium">
        <color theme="0" tint="-0.249977111117893"/>
      </bottom>
      <diagonal/>
    </border>
    <border>
      <left style="medium">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s>
  <cellStyleXfs count="5">
    <xf numFmtId="0" fontId="0" fillId="0" borderId="0"/>
    <xf numFmtId="0" fontId="4" fillId="0" borderId="0" applyNumberFormat="0" applyFill="0" applyBorder="0" applyAlignment="0" applyProtection="0">
      <alignment vertical="top"/>
      <protection locked="0"/>
    </xf>
    <xf numFmtId="0" fontId="5" fillId="0" borderId="0"/>
    <xf numFmtId="0" fontId="18" fillId="0" borderId="0" applyNumberFormat="0" applyFill="0" applyBorder="0" applyAlignment="0" applyProtection="0">
      <alignment vertical="top"/>
      <protection locked="0"/>
    </xf>
    <xf numFmtId="0" fontId="2" fillId="0" borderId="0"/>
  </cellStyleXfs>
  <cellXfs count="184">
    <xf numFmtId="0" fontId="0" fillId="0" borderId="0" xfId="0"/>
    <xf numFmtId="0" fontId="3" fillId="0" borderId="0" xfId="0" applyFont="1"/>
    <xf numFmtId="0" fontId="0" fillId="0" borderId="0" xfId="0" applyAlignment="1">
      <alignment horizontal="center"/>
    </xf>
    <xf numFmtId="0" fontId="3" fillId="0" borderId="1" xfId="0" applyFont="1" applyBorder="1"/>
    <xf numFmtId="0" fontId="3" fillId="0" borderId="1" xfId="0" applyFont="1" applyBorder="1" applyAlignment="1">
      <alignment horizontal="center"/>
    </xf>
    <xf numFmtId="0" fontId="0" fillId="0" borderId="1" xfId="0" applyBorder="1"/>
    <xf numFmtId="1" fontId="0" fillId="0" borderId="1" xfId="0" applyNumberFormat="1" applyBorder="1" applyAlignment="1">
      <alignment horizontal="center"/>
    </xf>
    <xf numFmtId="0" fontId="0" fillId="0" borderId="1" xfId="0" applyBorder="1" applyAlignment="1">
      <alignment horizontal="center"/>
    </xf>
    <xf numFmtId="0" fontId="6" fillId="0" borderId="1" xfId="0" applyFont="1" applyBorder="1" applyAlignment="1">
      <alignment horizontal="center"/>
    </xf>
    <xf numFmtId="0" fontId="6" fillId="0" borderId="1" xfId="0" applyFont="1" applyBorder="1"/>
    <xf numFmtId="0" fontId="0" fillId="0" borderId="2" xfId="0" applyBorder="1" applyAlignment="1">
      <alignment horizontal="center"/>
    </xf>
    <xf numFmtId="0" fontId="0" fillId="0" borderId="0" xfId="0" applyBorder="1"/>
    <xf numFmtId="0" fontId="0" fillId="0" borderId="0" xfId="0" applyBorder="1" applyAlignment="1">
      <alignment horizontal="center"/>
    </xf>
    <xf numFmtId="1" fontId="0" fillId="0" borderId="0" xfId="0" applyNumberFormat="1" applyBorder="1" applyAlignment="1">
      <alignment horizontal="center"/>
    </xf>
    <xf numFmtId="0" fontId="0" fillId="0" borderId="2" xfId="0" applyFill="1" applyBorder="1"/>
    <xf numFmtId="0" fontId="0" fillId="0" borderId="3" xfId="0" applyFill="1" applyBorder="1"/>
    <xf numFmtId="0" fontId="0" fillId="0" borderId="3" xfId="0" applyBorder="1" applyAlignment="1">
      <alignment horizontal="center"/>
    </xf>
    <xf numFmtId="0" fontId="0" fillId="2" borderId="1" xfId="0" applyFill="1" applyBorder="1" applyAlignment="1">
      <alignment horizontal="center"/>
    </xf>
    <xf numFmtId="0" fontId="0" fillId="0" borderId="1" xfId="0" applyFont="1" applyFill="1" applyBorder="1"/>
    <xf numFmtId="0" fontId="5" fillId="0" borderId="1" xfId="0" applyFont="1" applyBorder="1"/>
    <xf numFmtId="0" fontId="5" fillId="0" borderId="1" xfId="0" applyFont="1" applyBorder="1" applyAlignment="1">
      <alignment horizontal="center"/>
    </xf>
    <xf numFmtId="0" fontId="8" fillId="0" borderId="0" xfId="0" applyFont="1"/>
    <xf numFmtId="0" fontId="8" fillId="3" borderId="0" xfId="0" applyFont="1" applyFill="1"/>
    <xf numFmtId="0" fontId="0" fillId="0" borderId="0" xfId="0" applyFont="1"/>
    <xf numFmtId="0" fontId="9" fillId="0" borderId="0" xfId="0" applyFont="1"/>
    <xf numFmtId="0" fontId="7" fillId="4" borderId="0" xfId="0" applyFont="1" applyFill="1"/>
    <xf numFmtId="0" fontId="0" fillId="2" borderId="0" xfId="0" applyFill="1"/>
    <xf numFmtId="0" fontId="0" fillId="5" borderId="0" xfId="0" applyFill="1"/>
    <xf numFmtId="0" fontId="5" fillId="0" borderId="1" xfId="0" applyFont="1" applyFill="1" applyBorder="1"/>
    <xf numFmtId="0" fontId="3" fillId="0" borderId="1" xfId="0" applyFont="1" applyFill="1" applyBorder="1"/>
    <xf numFmtId="2" fontId="0" fillId="0" borderId="1" xfId="0" applyNumberFormat="1" applyBorder="1" applyAlignment="1">
      <alignment horizontal="center"/>
    </xf>
    <xf numFmtId="2" fontId="0" fillId="0" borderId="2" xfId="0" applyNumberFormat="1" applyBorder="1" applyAlignment="1">
      <alignment horizontal="center"/>
    </xf>
    <xf numFmtId="0" fontId="0" fillId="0" borderId="1" xfId="0" applyFill="1" applyBorder="1" applyAlignment="1">
      <alignment horizontal="center"/>
    </xf>
    <xf numFmtId="0" fontId="5" fillId="0" borderId="0" xfId="0" applyFont="1"/>
    <xf numFmtId="2" fontId="0" fillId="6" borderId="1" xfId="0" applyNumberFormat="1" applyFill="1" applyBorder="1" applyAlignment="1">
      <alignment horizontal="center"/>
    </xf>
    <xf numFmtId="0" fontId="0" fillId="0" borderId="0" xfId="0" applyFill="1"/>
    <xf numFmtId="2" fontId="0" fillId="0" borderId="0" xfId="0" applyNumberFormat="1" applyBorder="1" applyAlignment="1">
      <alignment horizontal="center"/>
    </xf>
    <xf numFmtId="0" fontId="5" fillId="0" borderId="0" xfId="0" applyFont="1" applyFill="1" applyBorder="1"/>
    <xf numFmtId="0" fontId="5" fillId="0" borderId="0" xfId="0" applyFont="1" applyBorder="1" applyAlignment="1">
      <alignment horizontal="center"/>
    </xf>
    <xf numFmtId="2" fontId="0" fillId="0" borderId="0" xfId="0" applyNumberFormat="1" applyAlignment="1">
      <alignment horizontal="center"/>
    </xf>
    <xf numFmtId="2" fontId="0" fillId="0" borderId="0" xfId="0" applyNumberFormat="1"/>
    <xf numFmtId="0" fontId="5" fillId="5" borderId="0" xfId="2" applyFill="1" applyProtection="1">
      <protection hidden="1"/>
    </xf>
    <xf numFmtId="0" fontId="18" fillId="0" borderId="0" xfId="3" applyFill="1" applyAlignment="1" applyProtection="1">
      <protection hidden="1"/>
    </xf>
    <xf numFmtId="0" fontId="3" fillId="7" borderId="5" xfId="2" applyFont="1" applyFill="1" applyBorder="1" applyAlignment="1" applyProtection="1">
      <alignment horizontal="right"/>
      <protection hidden="1"/>
    </xf>
    <xf numFmtId="0" fontId="3" fillId="7" borderId="9" xfId="2" applyFont="1" applyFill="1" applyBorder="1" applyAlignment="1" applyProtection="1">
      <alignment horizontal="right"/>
      <protection hidden="1"/>
    </xf>
    <xf numFmtId="0" fontId="3" fillId="7" borderId="10" xfId="2" applyFont="1" applyFill="1" applyBorder="1" applyProtection="1">
      <protection hidden="1"/>
    </xf>
    <xf numFmtId="0" fontId="3" fillId="7" borderId="6" xfId="2" applyFont="1" applyFill="1" applyBorder="1" applyProtection="1">
      <protection hidden="1"/>
    </xf>
    <xf numFmtId="0" fontId="15" fillId="7" borderId="6" xfId="2" applyFont="1" applyFill="1" applyBorder="1" applyProtection="1">
      <protection hidden="1"/>
    </xf>
    <xf numFmtId="0" fontId="3" fillId="7" borderId="7" xfId="2" applyFont="1" applyFill="1" applyBorder="1" applyAlignment="1" applyProtection="1">
      <alignment horizontal="right"/>
      <protection hidden="1"/>
    </xf>
    <xf numFmtId="0" fontId="3" fillId="7" borderId="8" xfId="2" applyFont="1" applyFill="1" applyBorder="1" applyProtection="1">
      <protection hidden="1"/>
    </xf>
    <xf numFmtId="0" fontId="15" fillId="7" borderId="8" xfId="2" applyFont="1" applyFill="1" applyBorder="1" applyProtection="1">
      <protection hidden="1"/>
    </xf>
    <xf numFmtId="0" fontId="5" fillId="7" borderId="10" xfId="2" applyFill="1" applyBorder="1" applyProtection="1">
      <protection hidden="1"/>
    </xf>
    <xf numFmtId="0" fontId="17" fillId="7" borderId="16" xfId="2" applyFont="1" applyFill="1" applyBorder="1" applyAlignment="1" applyProtection="1">
      <alignment horizontal="center" textRotation="90"/>
      <protection hidden="1"/>
    </xf>
    <xf numFmtId="0" fontId="3" fillId="7" borderId="17" xfId="2" applyFont="1" applyFill="1" applyBorder="1" applyAlignment="1" applyProtection="1">
      <alignment horizontal="right" vertical="center"/>
      <protection hidden="1"/>
    </xf>
    <xf numFmtId="0" fontId="3" fillId="7" borderId="18" xfId="2" applyFont="1" applyFill="1" applyBorder="1" applyAlignment="1" applyProtection="1">
      <alignment horizontal="right" vertical="center"/>
      <protection hidden="1"/>
    </xf>
    <xf numFmtId="0" fontId="3" fillId="7" borderId="11" xfId="2" applyFont="1" applyFill="1" applyBorder="1" applyAlignment="1" applyProtection="1">
      <alignment vertical="center"/>
      <protection hidden="1"/>
    </xf>
    <xf numFmtId="0" fontId="10" fillId="0" borderId="0" xfId="0" applyFont="1" applyFill="1" applyProtection="1">
      <protection hidden="1"/>
    </xf>
    <xf numFmtId="0" fontId="0" fillId="0" borderId="0" xfId="0" applyFill="1" applyProtection="1">
      <protection hidden="1"/>
    </xf>
    <xf numFmtId="0" fontId="5" fillId="0" borderId="0" xfId="0" applyFont="1" applyFill="1" applyAlignment="1" applyProtection="1">
      <alignment wrapText="1"/>
      <protection hidden="1"/>
    </xf>
    <xf numFmtId="0" fontId="0" fillId="0" borderId="0" xfId="0" applyFill="1" applyAlignment="1" applyProtection="1">
      <alignment vertical="top" wrapText="1"/>
      <protection hidden="1"/>
    </xf>
    <xf numFmtId="0" fontId="5" fillId="0" borderId="0" xfId="0" applyFont="1" applyFill="1" applyAlignment="1" applyProtection="1">
      <alignment vertical="top" wrapText="1"/>
      <protection hidden="1"/>
    </xf>
    <xf numFmtId="0" fontId="5" fillId="0" borderId="0" xfId="0" applyFont="1" applyFill="1" applyProtection="1">
      <protection hidden="1"/>
    </xf>
    <xf numFmtId="0" fontId="0" fillId="0" borderId="0" xfId="0" applyFill="1" applyAlignment="1" applyProtection="1">
      <alignment vertical="top"/>
      <protection hidden="1"/>
    </xf>
    <xf numFmtId="0" fontId="4" fillId="0" borderId="0" xfId="1" applyFill="1" applyAlignment="1" applyProtection="1">
      <protection hidden="1"/>
    </xf>
    <xf numFmtId="0" fontId="3" fillId="7" borderId="12" xfId="2" applyFont="1" applyFill="1" applyBorder="1" applyAlignment="1" applyProtection="1">
      <alignment horizontal="right"/>
      <protection hidden="1"/>
    </xf>
    <xf numFmtId="0" fontId="3" fillId="7" borderId="22" xfId="2" applyFont="1" applyFill="1" applyBorder="1" applyProtection="1">
      <protection hidden="1"/>
    </xf>
    <xf numFmtId="0" fontId="0" fillId="5" borderId="0" xfId="0" applyFill="1" applyProtection="1">
      <protection hidden="1"/>
    </xf>
    <xf numFmtId="0" fontId="3" fillId="7" borderId="10" xfId="0" applyFont="1" applyFill="1" applyBorder="1" applyProtection="1">
      <protection hidden="1"/>
    </xf>
    <xf numFmtId="0" fontId="16" fillId="7" borderId="0" xfId="0" applyFont="1" applyFill="1" applyBorder="1" applyAlignment="1" applyProtection="1">
      <protection hidden="1"/>
    </xf>
    <xf numFmtId="0" fontId="3" fillId="7" borderId="6" xfId="0" applyFont="1" applyFill="1" applyBorder="1" applyProtection="1">
      <protection hidden="1"/>
    </xf>
    <xf numFmtId="0" fontId="0" fillId="7" borderId="0" xfId="0" applyFill="1" applyProtection="1">
      <protection hidden="1"/>
    </xf>
    <xf numFmtId="0" fontId="3" fillId="7" borderId="8" xfId="0" applyFont="1" applyFill="1" applyBorder="1" applyProtection="1">
      <protection hidden="1"/>
    </xf>
    <xf numFmtId="1" fontId="0" fillId="2" borderId="1" xfId="0" applyNumberFormat="1" applyFill="1" applyBorder="1" applyAlignment="1">
      <alignment horizontal="center"/>
    </xf>
    <xf numFmtId="0" fontId="3" fillId="0" borderId="1" xfId="0" applyFont="1" applyFill="1" applyBorder="1" applyAlignment="1">
      <alignment horizontal="center"/>
    </xf>
    <xf numFmtId="2" fontId="0" fillId="0" borderId="1" xfId="0" applyNumberFormat="1" applyBorder="1"/>
    <xf numFmtId="2" fontId="5" fillId="0" borderId="0" xfId="0" applyNumberFormat="1" applyFont="1"/>
    <xf numFmtId="0" fontId="16" fillId="7" borderId="0" xfId="0" applyNumberFormat="1" applyFont="1" applyFill="1" applyBorder="1" applyAlignment="1" applyProtection="1">
      <protection hidden="1"/>
    </xf>
    <xf numFmtId="0" fontId="3" fillId="7" borderId="17" xfId="2" applyFont="1" applyFill="1" applyBorder="1" applyAlignment="1" applyProtection="1">
      <alignment horizontal="right"/>
      <protection hidden="1"/>
    </xf>
    <xf numFmtId="0" fontId="3" fillId="7" borderId="25" xfId="2" applyFont="1" applyFill="1" applyBorder="1" applyProtection="1">
      <protection hidden="1"/>
    </xf>
    <xf numFmtId="20" fontId="0" fillId="0" borderId="0" xfId="0" applyNumberFormat="1"/>
    <xf numFmtId="9" fontId="0" fillId="0" borderId="0" xfId="0" applyNumberFormat="1"/>
    <xf numFmtId="10" fontId="0" fillId="0" borderId="0" xfId="0" applyNumberFormat="1"/>
    <xf numFmtId="49" fontId="0" fillId="0" borderId="0" xfId="0" applyNumberFormat="1"/>
    <xf numFmtId="49" fontId="5" fillId="0" borderId="0" xfId="0" applyNumberFormat="1" applyFont="1"/>
    <xf numFmtId="49" fontId="23" fillId="0" borderId="0" xfId="0" applyNumberFormat="1" applyFont="1"/>
    <xf numFmtId="10" fontId="5" fillId="0" borderId="0" xfId="0" applyNumberFormat="1" applyFont="1"/>
    <xf numFmtId="1" fontId="0" fillId="0" borderId="0" xfId="0" applyNumberFormat="1"/>
    <xf numFmtId="0" fontId="5" fillId="0" borderId="0" xfId="0" applyFont="1" applyAlignment="1">
      <alignment horizontal="right"/>
    </xf>
    <xf numFmtId="0" fontId="5" fillId="0" borderId="6" xfId="0" applyFont="1" applyBorder="1" applyProtection="1">
      <protection hidden="1"/>
    </xf>
    <xf numFmtId="0" fontId="0" fillId="0" borderId="6" xfId="0" applyBorder="1" applyProtection="1">
      <protection hidden="1"/>
    </xf>
    <xf numFmtId="0" fontId="24" fillId="7" borderId="0" xfId="0" applyFont="1" applyFill="1" applyAlignment="1" applyProtection="1">
      <alignment vertical="center"/>
      <protection hidden="1"/>
    </xf>
    <xf numFmtId="0" fontId="5" fillId="7" borderId="0" xfId="0" applyFont="1" applyFill="1" applyProtection="1">
      <protection hidden="1"/>
    </xf>
    <xf numFmtId="0" fontId="25" fillId="7" borderId="0" xfId="0" applyFont="1" applyFill="1" applyProtection="1">
      <protection hidden="1"/>
    </xf>
    <xf numFmtId="0" fontId="26" fillId="7" borderId="0" xfId="0" applyFont="1" applyFill="1" applyProtection="1">
      <protection hidden="1"/>
    </xf>
    <xf numFmtId="0" fontId="5" fillId="2" borderId="9" xfId="2" applyFont="1" applyFill="1" applyBorder="1" applyAlignment="1" applyProtection="1">
      <alignment wrapText="1"/>
      <protection locked="0" hidden="1"/>
    </xf>
    <xf numFmtId="1" fontId="5" fillId="2" borderId="5" xfId="2" applyNumberFormat="1" applyFill="1" applyBorder="1" applyProtection="1">
      <protection locked="0" hidden="1"/>
    </xf>
    <xf numFmtId="0" fontId="5" fillId="2" borderId="12" xfId="2" applyNumberFormat="1" applyFill="1" applyBorder="1" applyAlignment="1" applyProtection="1">
      <alignment horizontal="right"/>
      <protection locked="0" hidden="1"/>
    </xf>
    <xf numFmtId="164" fontId="5" fillId="2" borderId="9" xfId="2" applyNumberFormat="1" applyFill="1" applyBorder="1" applyProtection="1">
      <protection locked="0" hidden="1"/>
    </xf>
    <xf numFmtId="164" fontId="5" fillId="2" borderId="5" xfId="2" applyNumberFormat="1" applyFill="1" applyBorder="1" applyProtection="1">
      <protection locked="0" hidden="1"/>
    </xf>
    <xf numFmtId="165" fontId="5" fillId="2" borderId="7" xfId="2" applyNumberFormat="1" applyFill="1" applyBorder="1" applyProtection="1">
      <protection locked="0" hidden="1"/>
    </xf>
    <xf numFmtId="0" fontId="5" fillId="2" borderId="9" xfId="2" applyFont="1" applyFill="1" applyBorder="1" applyAlignment="1" applyProtection="1">
      <alignment horizontal="right"/>
      <protection locked="0" hidden="1"/>
    </xf>
    <xf numFmtId="164" fontId="5" fillId="2" borderId="5" xfId="2" applyNumberFormat="1" applyFont="1" applyFill="1" applyBorder="1" applyProtection="1">
      <protection locked="0" hidden="1"/>
    </xf>
    <xf numFmtId="0" fontId="5" fillId="2" borderId="7" xfId="2" applyFill="1" applyBorder="1" applyAlignment="1" applyProtection="1">
      <alignment horizontal="right"/>
      <protection locked="0" hidden="1"/>
    </xf>
    <xf numFmtId="0" fontId="5" fillId="2" borderId="17" xfId="2" applyFill="1" applyBorder="1" applyAlignment="1" applyProtection="1">
      <alignment horizontal="right"/>
      <protection locked="0" hidden="1"/>
    </xf>
    <xf numFmtId="0" fontId="5" fillId="2" borderId="18" xfId="2" applyFill="1" applyBorder="1" applyAlignment="1" applyProtection="1">
      <alignment horizontal="right" vertical="center"/>
      <protection locked="0" hidden="1"/>
    </xf>
    <xf numFmtId="0" fontId="0" fillId="0" borderId="0" xfId="0" applyProtection="1">
      <protection hidden="1"/>
    </xf>
    <xf numFmtId="0" fontId="11" fillId="0" borderId="0" xfId="0" applyFont="1" applyProtection="1">
      <protection hidden="1"/>
    </xf>
    <xf numFmtId="0" fontId="5" fillId="0" borderId="0" xfId="2" applyProtection="1">
      <protection hidden="1"/>
    </xf>
    <xf numFmtId="0" fontId="22" fillId="0" borderId="0" xfId="0" applyFont="1" applyProtection="1">
      <protection hidden="1"/>
    </xf>
    <xf numFmtId="0" fontId="16" fillId="0" borderId="0" xfId="0" applyFont="1" applyProtection="1">
      <protection hidden="1"/>
    </xf>
    <xf numFmtId="164" fontId="13" fillId="0" borderId="0" xfId="0" applyNumberFormat="1" applyFont="1" applyAlignment="1" applyProtection="1">
      <alignment horizontal="left"/>
      <protection hidden="1"/>
    </xf>
    <xf numFmtId="0" fontId="13" fillId="0" borderId="0" xfId="0" applyFont="1" applyProtection="1">
      <protection hidden="1"/>
    </xf>
    <xf numFmtId="164" fontId="0" fillId="7" borderId="9" xfId="0" applyNumberFormat="1" applyFill="1" applyBorder="1" applyProtection="1">
      <protection hidden="1"/>
    </xf>
    <xf numFmtId="164" fontId="0" fillId="7" borderId="5" xfId="0" applyNumberFormat="1" applyFill="1" applyBorder="1" applyProtection="1">
      <protection hidden="1"/>
    </xf>
    <xf numFmtId="2" fontId="0" fillId="7" borderId="5" xfId="0" applyNumberFormat="1" applyFill="1" applyBorder="1" applyProtection="1">
      <protection hidden="1"/>
    </xf>
    <xf numFmtId="2" fontId="0" fillId="7" borderId="7" xfId="0" applyNumberFormat="1" applyFill="1" applyBorder="1" applyAlignment="1" applyProtection="1">
      <alignment horizontal="right"/>
      <protection hidden="1"/>
    </xf>
    <xf numFmtId="0" fontId="4" fillId="7" borderId="0" xfId="1" applyFill="1" applyBorder="1" applyAlignment="1" applyProtection="1">
      <protection locked="0" hidden="1"/>
    </xf>
    <xf numFmtId="0" fontId="18" fillId="7" borderId="0" xfId="3" applyFill="1" applyBorder="1" applyAlignment="1" applyProtection="1">
      <protection locked="0" hidden="1"/>
    </xf>
    <xf numFmtId="0" fontId="18" fillId="7" borderId="0" xfId="3" applyFill="1" applyBorder="1" applyAlignment="1" applyProtection="1">
      <alignment vertical="center"/>
      <protection locked="0" hidden="1"/>
    </xf>
    <xf numFmtId="0" fontId="0" fillId="0" borderId="0" xfId="0" applyProtection="1">
      <protection locked="0" hidden="1"/>
    </xf>
    <xf numFmtId="0" fontId="2" fillId="0" borderId="0" xfId="4"/>
    <xf numFmtId="9" fontId="2" fillId="0" borderId="0" xfId="4" applyNumberFormat="1" applyAlignment="1">
      <alignment horizontal="center"/>
    </xf>
    <xf numFmtId="0" fontId="2" fillId="0" borderId="0" xfId="4" applyAlignment="1">
      <alignment horizontal="center"/>
    </xf>
    <xf numFmtId="0" fontId="8" fillId="0" borderId="0" xfId="4" applyFont="1" applyAlignment="1">
      <alignment horizontal="center"/>
    </xf>
    <xf numFmtId="0" fontId="2" fillId="13" borderId="1" xfId="4" applyFill="1" applyBorder="1" applyAlignment="1">
      <alignment horizontal="center" vertical="center"/>
    </xf>
    <xf numFmtId="2" fontId="2" fillId="0" borderId="0" xfId="4" applyNumberFormat="1"/>
    <xf numFmtId="1" fontId="2" fillId="8" borderId="1" xfId="4" applyNumberFormat="1" applyFill="1" applyBorder="1" applyAlignment="1">
      <alignment horizontal="center"/>
    </xf>
    <xf numFmtId="1" fontId="2" fillId="9" borderId="1" xfId="4" applyNumberFormat="1" applyFill="1" applyBorder="1" applyAlignment="1">
      <alignment horizontal="center"/>
    </xf>
    <xf numFmtId="1" fontId="2" fillId="10" borderId="1" xfId="4" applyNumberFormat="1" applyFill="1" applyBorder="1" applyAlignment="1">
      <alignment horizontal="center"/>
    </xf>
    <xf numFmtId="1" fontId="2" fillId="14" borderId="1" xfId="4" applyNumberFormat="1" applyFill="1" applyBorder="1" applyAlignment="1">
      <alignment horizontal="center"/>
    </xf>
    <xf numFmtId="1" fontId="2" fillId="12" borderId="1" xfId="4" applyNumberFormat="1" applyFill="1" applyBorder="1" applyAlignment="1">
      <alignment horizontal="center"/>
    </xf>
    <xf numFmtId="1" fontId="2" fillId="13" borderId="1" xfId="4" applyNumberFormat="1" applyFill="1" applyBorder="1" applyAlignment="1">
      <alignment horizontal="center" vertical="center"/>
    </xf>
    <xf numFmtId="0" fontId="8" fillId="0" borderId="0" xfId="4" applyFont="1"/>
    <xf numFmtId="0" fontId="1" fillId="0" borderId="0" xfId="4" applyFont="1"/>
    <xf numFmtId="2" fontId="0" fillId="0" borderId="0" xfId="0" applyNumberFormat="1" applyFill="1" applyBorder="1"/>
    <xf numFmtId="2" fontId="3" fillId="0" borderId="0" xfId="0" applyNumberFormat="1" applyFont="1"/>
    <xf numFmtId="0" fontId="5" fillId="0" borderId="0" xfId="0" applyFont="1" applyProtection="1">
      <protection hidden="1"/>
    </xf>
    <xf numFmtId="0" fontId="20" fillId="0" borderId="0" xfId="0" applyFont="1" applyProtection="1">
      <protection hidden="1"/>
    </xf>
    <xf numFmtId="0" fontId="5" fillId="5" borderId="0" xfId="0" applyFont="1" applyFill="1" applyProtection="1">
      <protection hidden="1"/>
    </xf>
    <xf numFmtId="1" fontId="0" fillId="7" borderId="7" xfId="0" applyNumberFormat="1" applyFill="1" applyBorder="1" applyAlignment="1" applyProtection="1">
      <alignment horizontal="right"/>
      <protection hidden="1"/>
    </xf>
    <xf numFmtId="0" fontId="5" fillId="0" borderId="0" xfId="0" quotePrefix="1" applyFont="1" applyFill="1" applyProtection="1">
      <protection hidden="1"/>
    </xf>
    <xf numFmtId="0" fontId="3" fillId="7" borderId="20" xfId="2" applyFont="1" applyFill="1" applyBorder="1" applyAlignment="1" applyProtection="1">
      <alignment vertical="center"/>
      <protection hidden="1"/>
    </xf>
    <xf numFmtId="0" fontId="4" fillId="7" borderId="0" xfId="1" applyFill="1" applyBorder="1" applyAlignment="1" applyProtection="1">
      <alignment vertical="center"/>
      <protection locked="0" hidden="1"/>
    </xf>
    <xf numFmtId="0" fontId="4" fillId="0" borderId="0" xfId="1" applyAlignment="1" applyProtection="1">
      <protection locked="0" hidden="1"/>
    </xf>
    <xf numFmtId="0" fontId="5" fillId="0" borderId="0" xfId="0" applyFont="1" applyProtection="1">
      <protection locked="0" hidden="1"/>
    </xf>
    <xf numFmtId="0" fontId="5" fillId="0" borderId="0" xfId="0" applyFont="1" applyAlignment="1">
      <alignment horizontal="center"/>
    </xf>
    <xf numFmtId="0" fontId="0" fillId="0" borderId="0" xfId="0" applyNumberFormat="1" applyAlignment="1">
      <alignment horizontal="center"/>
    </xf>
    <xf numFmtId="0" fontId="0" fillId="0" borderId="0" xfId="0" applyAlignment="1">
      <alignment horizontal="right"/>
    </xf>
    <xf numFmtId="0" fontId="0" fillId="0" borderId="0" xfId="0" applyFill="1" applyBorder="1" applyAlignment="1">
      <alignment horizontal="center"/>
    </xf>
    <xf numFmtId="0" fontId="5" fillId="2" borderId="18" xfId="2" applyFont="1" applyFill="1" applyBorder="1" applyAlignment="1" applyProtection="1">
      <alignment horizontal="right" vertical="center"/>
      <protection locked="0" hidden="1"/>
    </xf>
    <xf numFmtId="0" fontId="5" fillId="2" borderId="19" xfId="2" applyFont="1" applyFill="1" applyBorder="1" applyAlignment="1" applyProtection="1">
      <alignment horizontal="right" vertical="center"/>
      <protection locked="0" hidden="1"/>
    </xf>
    <xf numFmtId="0" fontId="3" fillId="7" borderId="14" xfId="0" applyFont="1" applyFill="1" applyBorder="1" applyAlignment="1" applyProtection="1">
      <alignment horizontal="right"/>
      <protection hidden="1"/>
    </xf>
    <xf numFmtId="0" fontId="3" fillId="7" borderId="5" xfId="0" applyFont="1" applyFill="1" applyBorder="1" applyAlignment="1" applyProtection="1">
      <alignment horizontal="right"/>
      <protection hidden="1"/>
    </xf>
    <xf numFmtId="0" fontId="3" fillId="7" borderId="26" xfId="0" applyFont="1" applyFill="1" applyBorder="1" applyAlignment="1" applyProtection="1">
      <alignment horizontal="right"/>
      <protection hidden="1"/>
    </xf>
    <xf numFmtId="0" fontId="3" fillId="7" borderId="27" xfId="0" applyFont="1" applyFill="1" applyBorder="1" applyAlignment="1" applyProtection="1">
      <alignment horizontal="right"/>
      <protection hidden="1"/>
    </xf>
    <xf numFmtId="0" fontId="3" fillId="5" borderId="0" xfId="2" applyFont="1" applyFill="1" applyAlignment="1" applyProtection="1">
      <alignment horizontal="center"/>
      <protection hidden="1"/>
    </xf>
    <xf numFmtId="0" fontId="5" fillId="2" borderId="19" xfId="2" applyFont="1" applyFill="1" applyBorder="1" applyAlignment="1" applyProtection="1">
      <alignment horizontal="left" vertical="center"/>
      <protection locked="0" hidden="1"/>
    </xf>
    <xf numFmtId="0" fontId="5" fillId="2" borderId="20" xfId="2" applyFont="1" applyFill="1" applyBorder="1" applyAlignment="1" applyProtection="1">
      <alignment horizontal="left" vertical="center"/>
      <protection locked="0" hidden="1"/>
    </xf>
    <xf numFmtId="0" fontId="17" fillId="7" borderId="21" xfId="2" applyFont="1" applyFill="1" applyBorder="1" applyAlignment="1" applyProtection="1">
      <alignment vertical="center" textRotation="90"/>
      <protection hidden="1"/>
    </xf>
    <xf numFmtId="0" fontId="17" fillId="7" borderId="23" xfId="2" applyFont="1" applyFill="1" applyBorder="1" applyAlignment="1" applyProtection="1">
      <alignment vertical="center" textRotation="90"/>
      <protection hidden="1"/>
    </xf>
    <xf numFmtId="0" fontId="17" fillId="7" borderId="16" xfId="2" applyFont="1" applyFill="1" applyBorder="1" applyAlignment="1" applyProtection="1">
      <alignment vertical="center" textRotation="90"/>
      <protection hidden="1"/>
    </xf>
    <xf numFmtId="0" fontId="17" fillId="7" borderId="13" xfId="2" applyFont="1" applyFill="1" applyBorder="1" applyAlignment="1" applyProtection="1">
      <alignment horizontal="center" vertical="center" textRotation="90"/>
      <protection hidden="1"/>
    </xf>
    <xf numFmtId="0" fontId="17" fillId="7" borderId="14" xfId="2" applyFont="1" applyFill="1" applyBorder="1" applyAlignment="1" applyProtection="1">
      <alignment horizontal="center" vertical="center" textRotation="90"/>
      <protection hidden="1"/>
    </xf>
    <xf numFmtId="0" fontId="17" fillId="7" borderId="15" xfId="2" applyFont="1" applyFill="1" applyBorder="1" applyAlignment="1" applyProtection="1">
      <alignment horizontal="center" vertical="center" textRotation="90"/>
      <protection hidden="1"/>
    </xf>
    <xf numFmtId="0" fontId="17" fillId="7" borderId="21" xfId="2" applyFont="1" applyFill="1" applyBorder="1" applyAlignment="1" applyProtection="1">
      <alignment horizontal="center" vertical="center" textRotation="90"/>
      <protection hidden="1"/>
    </xf>
    <xf numFmtId="0" fontId="17" fillId="7" borderId="23" xfId="2" applyFont="1" applyFill="1" applyBorder="1" applyAlignment="1" applyProtection="1">
      <alignment horizontal="center" vertical="center" textRotation="90"/>
      <protection hidden="1"/>
    </xf>
    <xf numFmtId="0" fontId="17" fillId="7" borderId="16" xfId="2" applyFont="1" applyFill="1" applyBorder="1" applyAlignment="1" applyProtection="1">
      <alignment horizontal="center" vertical="center" textRotation="90"/>
      <protection hidden="1"/>
    </xf>
    <xf numFmtId="0" fontId="3" fillId="5" borderId="0" xfId="0" applyFont="1" applyFill="1" applyBorder="1" applyAlignment="1" applyProtection="1">
      <alignment horizontal="center"/>
      <protection hidden="1"/>
    </xf>
    <xf numFmtId="0" fontId="3" fillId="7" borderId="15" xfId="0" applyFont="1" applyFill="1" applyBorder="1" applyAlignment="1" applyProtection="1">
      <alignment horizontal="right"/>
      <protection hidden="1"/>
    </xf>
    <xf numFmtId="0" fontId="3" fillId="7" borderId="7" xfId="0" applyFont="1" applyFill="1" applyBorder="1" applyAlignment="1" applyProtection="1">
      <alignment horizontal="right"/>
      <protection hidden="1"/>
    </xf>
    <xf numFmtId="0" fontId="3" fillId="7" borderId="13" xfId="0" applyFont="1" applyFill="1" applyBorder="1" applyAlignment="1" applyProtection="1">
      <alignment horizontal="right"/>
      <protection hidden="1"/>
    </xf>
    <xf numFmtId="0" fontId="3" fillId="7" borderId="9" xfId="0" applyFont="1" applyFill="1" applyBorder="1" applyAlignment="1" applyProtection="1">
      <alignment horizontal="right"/>
      <protection hidden="1"/>
    </xf>
    <xf numFmtId="0" fontId="2" fillId="12" borderId="1" xfId="4" applyFill="1" applyBorder="1" applyAlignment="1">
      <alignment horizontal="center" vertical="center"/>
    </xf>
    <xf numFmtId="0" fontId="2" fillId="11" borderId="1" xfId="4" applyFill="1" applyBorder="1" applyAlignment="1">
      <alignment horizontal="center" vertical="center"/>
    </xf>
    <xf numFmtId="0" fontId="2" fillId="9" borderId="1" xfId="4" applyFill="1" applyBorder="1" applyAlignment="1">
      <alignment horizontal="center" vertical="center"/>
    </xf>
    <xf numFmtId="0" fontId="2" fillId="10" borderId="1" xfId="4" applyFill="1" applyBorder="1" applyAlignment="1">
      <alignment horizontal="center" vertical="center"/>
    </xf>
    <xf numFmtId="0" fontId="2" fillId="8" borderId="1" xfId="4" applyFill="1" applyBorder="1" applyAlignment="1">
      <alignment horizontal="center" vertical="center"/>
    </xf>
    <xf numFmtId="0" fontId="28" fillId="0" borderId="0" xfId="4" applyFont="1" applyAlignment="1">
      <alignment horizontal="center"/>
    </xf>
    <xf numFmtId="0" fontId="5" fillId="5" borderId="0" xfId="0" applyFont="1" applyFill="1" applyBorder="1" applyAlignment="1">
      <alignment horizontal="center"/>
    </xf>
    <xf numFmtId="0" fontId="0" fillId="5" borderId="0" xfId="0" applyFill="1" applyBorder="1" applyAlignment="1">
      <alignment horizontal="center"/>
    </xf>
    <xf numFmtId="0" fontId="5" fillId="5" borderId="4" xfId="0" applyFont="1" applyFill="1" applyBorder="1" applyAlignment="1">
      <alignment horizontal="center"/>
    </xf>
    <xf numFmtId="0" fontId="5" fillId="5" borderId="3" xfId="0" applyFont="1" applyFill="1" applyBorder="1" applyAlignment="1">
      <alignment horizontal="center"/>
    </xf>
    <xf numFmtId="0" fontId="0" fillId="5" borderId="24" xfId="0" applyFill="1" applyBorder="1" applyAlignment="1">
      <alignment horizontal="center"/>
    </xf>
    <xf numFmtId="0" fontId="5" fillId="0" borderId="0" xfId="0" applyFont="1" applyAlignment="1">
      <alignment horizontal="center"/>
    </xf>
  </cellXfs>
  <cellStyles count="5">
    <cellStyle name="Hyperlink" xfId="1" builtinId="8"/>
    <cellStyle name="Hyperlink 2" xfId="3"/>
    <cellStyle name="Normal" xfId="0" builtinId="0"/>
    <cellStyle name="Normal 2" xfId="2"/>
    <cellStyle name="Normal 3" xfId="4"/>
  </cellStyles>
  <dxfs count="46">
    <dxf>
      <font>
        <color rgb="FFFF0000"/>
      </font>
    </dxf>
    <dxf>
      <font>
        <color theme="0" tint="-0.24994659260841701"/>
      </font>
    </dxf>
    <dxf>
      <font>
        <b/>
        <i val="0"/>
      </font>
      <fill>
        <patternFill>
          <bgColor rgb="FFFF0000"/>
        </patternFill>
      </fill>
    </dxf>
    <dxf>
      <font>
        <color theme="0" tint="-0.24994659260841701"/>
      </font>
    </dxf>
    <dxf>
      <font>
        <color theme="0" tint="-0.24994659260841701"/>
      </font>
    </dxf>
    <dxf>
      <font>
        <color theme="1"/>
      </font>
      <fill>
        <patternFill>
          <bgColor rgb="FFFF0000"/>
        </patternFill>
      </fill>
    </dxf>
    <dxf>
      <font>
        <b/>
        <i val="0"/>
        <color rgb="FFFF0000"/>
      </font>
    </dxf>
    <dxf>
      <font>
        <color theme="1"/>
      </font>
      <fill>
        <patternFill>
          <bgColor rgb="FFFF0000"/>
        </patternFill>
      </fill>
    </dxf>
    <dxf>
      <font>
        <color rgb="FFFF0000"/>
      </font>
    </dxf>
    <dxf>
      <font>
        <color auto="1"/>
      </font>
      <fill>
        <patternFill>
          <bgColor rgb="FFFF0000"/>
        </patternFill>
      </fill>
    </dxf>
    <dxf>
      <font>
        <color theme="0" tint="-0.24994659260841701"/>
      </font>
    </dxf>
    <dxf>
      <font>
        <color theme="0" tint="-0.14996795556505021"/>
      </font>
    </dxf>
    <dxf>
      <font>
        <color theme="0" tint="-0.14996795556505021"/>
      </font>
    </dxf>
    <dxf>
      <font>
        <b/>
        <i val="0"/>
        <color rgb="FFFF0000"/>
      </font>
    </dxf>
    <dxf>
      <font>
        <b/>
        <i val="0"/>
        <color rgb="FFFF0000"/>
      </font>
    </dxf>
    <dxf>
      <font>
        <b/>
        <i val="0"/>
      </font>
      <fill>
        <patternFill>
          <bgColor rgb="FFFF0000"/>
        </patternFill>
      </fill>
    </dxf>
    <dxf>
      <font>
        <b/>
        <i val="0"/>
      </font>
      <fill>
        <patternFill>
          <bgColor rgb="FFFF0000"/>
        </patternFill>
      </fill>
    </dxf>
    <dxf>
      <font>
        <color theme="0" tint="-0.24994659260841701"/>
      </font>
    </dxf>
    <dxf>
      <font>
        <b/>
        <i val="0"/>
        <color rgb="FFFF0000"/>
      </font>
    </dxf>
    <dxf>
      <fill>
        <patternFill>
          <bgColor rgb="FFFF0000"/>
        </patternFill>
      </fill>
    </dxf>
    <dxf>
      <fill>
        <patternFill>
          <bgColor rgb="FFFF0000"/>
        </patternFill>
      </fill>
    </dxf>
    <dxf>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alignment horizontal="center" vertical="bottom" textRotation="0" wrapText="0" indent="0" justifyLastLine="0" shrinkToFit="0" readingOrder="0"/>
    </dxf>
    <dxf>
      <fill>
        <patternFill>
          <bgColor rgb="FFFF0000"/>
        </patternFill>
      </fill>
    </dxf>
    <dxf>
      <fill>
        <patternFill>
          <bgColor rgb="FFFF0000"/>
        </patternFill>
      </fill>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b val="0"/>
        <i val="0"/>
        <strike val="0"/>
        <condense val="0"/>
        <extend val="0"/>
        <outline val="0"/>
        <shadow val="0"/>
        <u val="none"/>
        <vertAlign val="baseline"/>
        <sz val="10"/>
        <color auto="1"/>
        <name val="Arial"/>
        <scheme val="none"/>
      </font>
      <numFmt numFmtId="2" formatCode="0.00"/>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numFmt numFmtId="30" formatCode="@"/>
    </dxf>
    <dxf>
      <font>
        <b val="0"/>
        <i val="0"/>
        <strike val="0"/>
        <condense val="0"/>
        <extend val="0"/>
        <outline val="0"/>
        <shadow val="0"/>
        <u val="none"/>
        <vertAlign val="baseline"/>
        <sz val="10"/>
        <color auto="1"/>
        <name val="Arial"/>
        <scheme val="none"/>
      </font>
      <numFmt numFmtId="30" formatCode="@"/>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
      <font>
        <b val="0"/>
        <i val="0"/>
        <strike val="0"/>
        <condense val="0"/>
        <extend val="0"/>
        <outline val="0"/>
        <shadow val="0"/>
        <u val="none"/>
        <vertAlign val="baseline"/>
        <sz val="10"/>
        <color auto="1"/>
        <name val="Arial"/>
        <scheme val="none"/>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DC2-16V load vs DC1-3.3V load @Ibus=40mA</a:t>
            </a:r>
          </a:p>
        </c:rich>
      </c:tx>
      <c:overlay val="0"/>
    </c:title>
    <c:autoTitleDeleted val="0"/>
    <c:plotArea>
      <c:layout>
        <c:manualLayout>
          <c:layoutTarget val="inner"/>
          <c:xMode val="edge"/>
          <c:yMode val="edge"/>
          <c:x val="0.10100935936062655"/>
          <c:y val="0.13584361276874288"/>
          <c:w val="0.84112886210767057"/>
          <c:h val="0.71482081688941423"/>
        </c:manualLayout>
      </c:layout>
      <c:scatterChart>
        <c:scatterStyle val="lineMarker"/>
        <c:varyColors val="0"/>
        <c:ser>
          <c:idx val="0"/>
          <c:order val="0"/>
          <c:tx>
            <c:strRef>
              <c:f>'KNXB Current Capabilities'!$B$5:$B$6</c:f>
              <c:strCache>
                <c:ptCount val="2"/>
                <c:pt idx="0">
                  <c:v>30V/Fan4</c:v>
                </c:pt>
                <c:pt idx="1">
                  <c:v>Iload(DC2)</c:v>
                </c:pt>
              </c:strCache>
            </c:strRef>
          </c:tx>
          <c:xVal>
            <c:numRef>
              <c:f>'KNXB Current Capabilities'!$A$7:$A$17</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Capabilities'!$B$7:$B$17</c:f>
              <c:numCache>
                <c:formatCode>General</c:formatCode>
                <c:ptCount val="11"/>
                <c:pt idx="0">
                  <c:v>56.9</c:v>
                </c:pt>
                <c:pt idx="1">
                  <c:v>54.8</c:v>
                </c:pt>
                <c:pt idx="2">
                  <c:v>52.6</c:v>
                </c:pt>
                <c:pt idx="3">
                  <c:v>50.4</c:v>
                </c:pt>
                <c:pt idx="4">
                  <c:v>48.1</c:v>
                </c:pt>
                <c:pt idx="5">
                  <c:v>45.8</c:v>
                </c:pt>
                <c:pt idx="6">
                  <c:v>43.5</c:v>
                </c:pt>
                <c:pt idx="7">
                  <c:v>41.1</c:v>
                </c:pt>
                <c:pt idx="8">
                  <c:v>38.700000000000003</c:v>
                </c:pt>
                <c:pt idx="9">
                  <c:v>36.200000000000003</c:v>
                </c:pt>
                <c:pt idx="10">
                  <c:v>33.6</c:v>
                </c:pt>
              </c:numCache>
            </c:numRef>
          </c:yVal>
          <c:smooth val="0"/>
        </c:ser>
        <c:ser>
          <c:idx val="1"/>
          <c:order val="1"/>
          <c:tx>
            <c:strRef>
              <c:f>'KNXB Current Capabilities'!$C$5:$C$6</c:f>
              <c:strCache>
                <c:ptCount val="2"/>
                <c:pt idx="0">
                  <c:v>28V/Fan4</c:v>
                </c:pt>
                <c:pt idx="1">
                  <c:v>Iload(DC2)</c:v>
                </c:pt>
              </c:strCache>
            </c:strRef>
          </c:tx>
          <c:xVal>
            <c:numRef>
              <c:f>'KNXB Current Capabilities'!$A$7:$A$17</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Capabilities'!$C$7:$C$17</c:f>
              <c:numCache>
                <c:formatCode>General</c:formatCode>
                <c:ptCount val="11"/>
                <c:pt idx="0">
                  <c:v>52.8</c:v>
                </c:pt>
                <c:pt idx="1">
                  <c:v>50.6</c:v>
                </c:pt>
                <c:pt idx="2">
                  <c:v>48.4</c:v>
                </c:pt>
                <c:pt idx="3">
                  <c:v>46.2</c:v>
                </c:pt>
                <c:pt idx="4">
                  <c:v>44</c:v>
                </c:pt>
                <c:pt idx="5">
                  <c:v>41.7</c:v>
                </c:pt>
                <c:pt idx="6">
                  <c:v>39.299999999999997</c:v>
                </c:pt>
                <c:pt idx="7">
                  <c:v>36.9</c:v>
                </c:pt>
                <c:pt idx="8">
                  <c:v>34.5</c:v>
                </c:pt>
                <c:pt idx="9">
                  <c:v>32</c:v>
                </c:pt>
                <c:pt idx="10">
                  <c:v>29.5</c:v>
                </c:pt>
              </c:numCache>
            </c:numRef>
          </c:yVal>
          <c:smooth val="0"/>
        </c:ser>
        <c:ser>
          <c:idx val="2"/>
          <c:order val="2"/>
          <c:tx>
            <c:strRef>
              <c:f>'KNXB Current Capabilities'!$D$5:$D$6</c:f>
              <c:strCache>
                <c:ptCount val="2"/>
                <c:pt idx="0">
                  <c:v>20V/Fan4</c:v>
                </c:pt>
                <c:pt idx="1">
                  <c:v>Iload(DC2)</c:v>
                </c:pt>
              </c:strCache>
            </c:strRef>
          </c:tx>
          <c:xVal>
            <c:numRef>
              <c:f>'KNXB Current Capabilities'!$A$7:$A$17</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Capabilities'!$D$7:$D$17</c:f>
              <c:numCache>
                <c:formatCode>General</c:formatCode>
                <c:ptCount val="11"/>
                <c:pt idx="0">
                  <c:v>35.6</c:v>
                </c:pt>
                <c:pt idx="1">
                  <c:v>33.4</c:v>
                </c:pt>
                <c:pt idx="2">
                  <c:v>31.3</c:v>
                </c:pt>
                <c:pt idx="3">
                  <c:v>29.1</c:v>
                </c:pt>
                <c:pt idx="4">
                  <c:v>26.9</c:v>
                </c:pt>
                <c:pt idx="5">
                  <c:v>24.6</c:v>
                </c:pt>
                <c:pt idx="6">
                  <c:v>22.2</c:v>
                </c:pt>
                <c:pt idx="7">
                  <c:v>19.8</c:v>
                </c:pt>
                <c:pt idx="8">
                  <c:v>17.399999999999999</c:v>
                </c:pt>
                <c:pt idx="9">
                  <c:v>14.9</c:v>
                </c:pt>
                <c:pt idx="10">
                  <c:v>12.3</c:v>
                </c:pt>
              </c:numCache>
            </c:numRef>
          </c:yVal>
          <c:smooth val="0"/>
        </c:ser>
        <c:dLbls>
          <c:showLegendKey val="0"/>
          <c:showVal val="0"/>
          <c:showCatName val="0"/>
          <c:showSerName val="0"/>
          <c:showPercent val="0"/>
          <c:showBubbleSize val="0"/>
        </c:dLbls>
        <c:axId val="207461224"/>
        <c:axId val="209054992"/>
      </c:scatterChart>
      <c:valAx>
        <c:axId val="207461224"/>
        <c:scaling>
          <c:orientation val="minMax"/>
          <c:max val="50"/>
        </c:scaling>
        <c:delete val="0"/>
        <c:axPos val="b"/>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DC1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9054992"/>
        <c:crosses val="autoZero"/>
        <c:crossBetween val="midCat"/>
      </c:valAx>
      <c:valAx>
        <c:axId val="209054992"/>
        <c:scaling>
          <c:orientation val="minMax"/>
        </c:scaling>
        <c:delete val="0"/>
        <c:axPos val="l"/>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DC2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7461224"/>
        <c:crosses val="autoZero"/>
        <c:crossBetween val="midCat"/>
      </c:valAx>
    </c:plotArea>
    <c:legend>
      <c:legendPos val="r"/>
      <c:layout>
        <c:manualLayout>
          <c:xMode val="edge"/>
          <c:yMode val="edge"/>
          <c:x val="0.1309967845659164"/>
          <c:y val="0.65613594910805639"/>
          <c:w val="0.2452090032154341"/>
          <c:h val="0.17513717564965392"/>
        </c:manualLayou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DC2-16V load vs DC1-3.3V load @Ibus=26mA</a:t>
            </a:r>
          </a:p>
        </c:rich>
      </c:tx>
      <c:overlay val="0"/>
    </c:title>
    <c:autoTitleDeleted val="0"/>
    <c:plotArea>
      <c:layout>
        <c:manualLayout>
          <c:layoutTarget val="inner"/>
          <c:xMode val="edge"/>
          <c:yMode val="edge"/>
          <c:x val="0.10100935936062655"/>
          <c:y val="0.13584361276874288"/>
          <c:w val="0.8411288621076709"/>
          <c:h val="0.71482081688941479"/>
        </c:manualLayout>
      </c:layout>
      <c:scatterChart>
        <c:scatterStyle val="lineMarker"/>
        <c:varyColors val="0"/>
        <c:ser>
          <c:idx val="0"/>
          <c:order val="0"/>
          <c:tx>
            <c:strRef>
              <c:f>'KNXB Current Capabilities'!$G$5:$G$6</c:f>
              <c:strCache>
                <c:ptCount val="2"/>
                <c:pt idx="0">
                  <c:v>30V/Fan2.6</c:v>
                </c:pt>
                <c:pt idx="1">
                  <c:v>Iload(DC2)</c:v>
                </c:pt>
              </c:strCache>
            </c:strRef>
          </c:tx>
          <c:xVal>
            <c:numRef>
              <c:f>'KNXB Current Capabilities'!$A$7:$A$17</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Capabilities'!$G$7:$G$17</c:f>
              <c:numCache>
                <c:formatCode>General</c:formatCode>
                <c:ptCount val="11"/>
                <c:pt idx="0">
                  <c:v>36.799999999999997</c:v>
                </c:pt>
                <c:pt idx="1">
                  <c:v>34.6</c:v>
                </c:pt>
                <c:pt idx="2">
                  <c:v>32.4</c:v>
                </c:pt>
                <c:pt idx="3">
                  <c:v>30.2</c:v>
                </c:pt>
                <c:pt idx="4">
                  <c:v>27.9</c:v>
                </c:pt>
                <c:pt idx="5">
                  <c:v>25.6</c:v>
                </c:pt>
                <c:pt idx="6">
                  <c:v>23.2</c:v>
                </c:pt>
                <c:pt idx="7">
                  <c:v>20.8</c:v>
                </c:pt>
                <c:pt idx="8">
                  <c:v>18.3</c:v>
                </c:pt>
                <c:pt idx="9">
                  <c:v>15.8</c:v>
                </c:pt>
                <c:pt idx="10">
                  <c:v>13.2</c:v>
                </c:pt>
              </c:numCache>
            </c:numRef>
          </c:yVal>
          <c:smooth val="0"/>
        </c:ser>
        <c:ser>
          <c:idx val="1"/>
          <c:order val="1"/>
          <c:tx>
            <c:strRef>
              <c:f>'KNXB Current Capabilities'!$H$5:$H$6</c:f>
              <c:strCache>
                <c:ptCount val="2"/>
                <c:pt idx="0">
                  <c:v>28V/Fan2.6</c:v>
                </c:pt>
                <c:pt idx="1">
                  <c:v>Iload(DC2)</c:v>
                </c:pt>
              </c:strCache>
            </c:strRef>
          </c:tx>
          <c:xVal>
            <c:numRef>
              <c:f>'KNXB Current Capabilities'!$A$7:$A$17</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Capabilities'!$H$7:$H$17</c:f>
              <c:numCache>
                <c:formatCode>General</c:formatCode>
                <c:ptCount val="11"/>
                <c:pt idx="0">
                  <c:v>34.1</c:v>
                </c:pt>
                <c:pt idx="1">
                  <c:v>32</c:v>
                </c:pt>
                <c:pt idx="2">
                  <c:v>29.8</c:v>
                </c:pt>
                <c:pt idx="3">
                  <c:v>27.5</c:v>
                </c:pt>
                <c:pt idx="4">
                  <c:v>25.3</c:v>
                </c:pt>
                <c:pt idx="5">
                  <c:v>23</c:v>
                </c:pt>
                <c:pt idx="6">
                  <c:v>20.6</c:v>
                </c:pt>
                <c:pt idx="7">
                  <c:v>18.2</c:v>
                </c:pt>
                <c:pt idx="8">
                  <c:v>15.7</c:v>
                </c:pt>
                <c:pt idx="9">
                  <c:v>13.2</c:v>
                </c:pt>
                <c:pt idx="10">
                  <c:v>10.6</c:v>
                </c:pt>
              </c:numCache>
            </c:numRef>
          </c:yVal>
          <c:smooth val="0"/>
        </c:ser>
        <c:ser>
          <c:idx val="2"/>
          <c:order val="2"/>
          <c:tx>
            <c:strRef>
              <c:f>'KNXB Current Capabilities'!$I$5:$I$6</c:f>
              <c:strCache>
                <c:ptCount val="2"/>
                <c:pt idx="0">
                  <c:v>20V/Fan2.6</c:v>
                </c:pt>
                <c:pt idx="1">
                  <c:v>Iload(DC2)</c:v>
                </c:pt>
              </c:strCache>
            </c:strRef>
          </c:tx>
          <c:xVal>
            <c:numRef>
              <c:f>'KNXB Current Capabilities'!$A$7:$A$17</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Capabilities'!$I$7:$I$17</c:f>
              <c:numCache>
                <c:formatCode>General</c:formatCode>
                <c:ptCount val="11"/>
                <c:pt idx="0">
                  <c:v>23.3</c:v>
                </c:pt>
                <c:pt idx="1">
                  <c:v>21.1</c:v>
                </c:pt>
                <c:pt idx="2">
                  <c:v>18.899999999999999</c:v>
                </c:pt>
                <c:pt idx="3">
                  <c:v>16.7</c:v>
                </c:pt>
                <c:pt idx="4">
                  <c:v>14.5</c:v>
                </c:pt>
                <c:pt idx="5">
                  <c:v>12.1</c:v>
                </c:pt>
                <c:pt idx="6">
                  <c:v>9.8000000000000007</c:v>
                </c:pt>
                <c:pt idx="7">
                  <c:v>7.3</c:v>
                </c:pt>
                <c:pt idx="8">
                  <c:v>4.8</c:v>
                </c:pt>
                <c:pt idx="9">
                  <c:v>2.2999999999999998</c:v>
                </c:pt>
                <c:pt idx="10">
                  <c:v>0</c:v>
                </c:pt>
              </c:numCache>
            </c:numRef>
          </c:yVal>
          <c:smooth val="0"/>
        </c:ser>
        <c:dLbls>
          <c:showLegendKey val="0"/>
          <c:showVal val="0"/>
          <c:showCatName val="0"/>
          <c:showSerName val="0"/>
          <c:showPercent val="0"/>
          <c:showBubbleSize val="0"/>
        </c:dLbls>
        <c:axId val="208774816"/>
        <c:axId val="208775200"/>
      </c:scatterChart>
      <c:valAx>
        <c:axId val="208774816"/>
        <c:scaling>
          <c:orientation val="minMax"/>
          <c:max val="100"/>
        </c:scaling>
        <c:delete val="0"/>
        <c:axPos val="b"/>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DC1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8775200"/>
        <c:crosses val="autoZero"/>
        <c:crossBetween val="midCat"/>
      </c:valAx>
      <c:valAx>
        <c:axId val="208775200"/>
        <c:scaling>
          <c:orientation val="minMax"/>
        </c:scaling>
        <c:delete val="0"/>
        <c:axPos val="l"/>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DC2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8774816"/>
        <c:crosses val="autoZero"/>
        <c:crossBetween val="midCat"/>
      </c:valAx>
    </c:plotArea>
    <c:legend>
      <c:legendPos val="r"/>
      <c:layout>
        <c:manualLayout>
          <c:xMode val="edge"/>
          <c:yMode val="edge"/>
          <c:x val="0.1309967845659164"/>
          <c:y val="0.65613594910805639"/>
          <c:w val="0.26148990218666396"/>
          <c:h val="0.17513717564965392"/>
        </c:manualLayou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20V LDO load vs DC1-3.3V load @Ibus=40mA</a:t>
            </a:r>
          </a:p>
        </c:rich>
      </c:tx>
      <c:overlay val="0"/>
    </c:title>
    <c:autoTitleDeleted val="0"/>
    <c:plotArea>
      <c:layout>
        <c:manualLayout>
          <c:layoutTarget val="inner"/>
          <c:xMode val="edge"/>
          <c:yMode val="edge"/>
          <c:x val="0.10100935936062655"/>
          <c:y val="0.13584361276874288"/>
          <c:w val="0.8411288621076709"/>
          <c:h val="0.71482081688941479"/>
        </c:manualLayout>
      </c:layout>
      <c:scatterChart>
        <c:scatterStyle val="lineMarker"/>
        <c:varyColors val="0"/>
        <c:ser>
          <c:idx val="0"/>
          <c:order val="0"/>
          <c:tx>
            <c:strRef>
              <c:f>'KNXB Current Capabilities'!$B$21:$B$22</c:f>
              <c:strCache>
                <c:ptCount val="2"/>
                <c:pt idx="0">
                  <c:v>30V/Fan4</c:v>
                </c:pt>
                <c:pt idx="1">
                  <c:v>Iload(V20)</c:v>
                </c:pt>
              </c:strCache>
            </c:strRef>
          </c:tx>
          <c:xVal>
            <c:numRef>
              <c:f>'KNXB Current Capabilities'!$A$23:$A$33</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Capabilities'!$B$23:$B$33</c:f>
              <c:numCache>
                <c:formatCode>General</c:formatCode>
                <c:ptCount val="11"/>
                <c:pt idx="0">
                  <c:v>35.700000000000003</c:v>
                </c:pt>
                <c:pt idx="1">
                  <c:v>34.4</c:v>
                </c:pt>
                <c:pt idx="2">
                  <c:v>33.200000000000003</c:v>
                </c:pt>
                <c:pt idx="3">
                  <c:v>31.9</c:v>
                </c:pt>
                <c:pt idx="4">
                  <c:v>30.5</c:v>
                </c:pt>
                <c:pt idx="5">
                  <c:v>29.2</c:v>
                </c:pt>
                <c:pt idx="6">
                  <c:v>27.8</c:v>
                </c:pt>
                <c:pt idx="7">
                  <c:v>26.4</c:v>
                </c:pt>
                <c:pt idx="8">
                  <c:v>24.9</c:v>
                </c:pt>
                <c:pt idx="9">
                  <c:v>23.4</c:v>
                </c:pt>
                <c:pt idx="10">
                  <c:v>21.8</c:v>
                </c:pt>
              </c:numCache>
            </c:numRef>
          </c:yVal>
          <c:smooth val="0"/>
        </c:ser>
        <c:ser>
          <c:idx val="1"/>
          <c:order val="1"/>
          <c:tx>
            <c:strRef>
              <c:f>'KNXB Current Capabilities'!$C$21:$C$22</c:f>
              <c:strCache>
                <c:ptCount val="2"/>
                <c:pt idx="0">
                  <c:v>28V/Fan4</c:v>
                </c:pt>
                <c:pt idx="1">
                  <c:v>Iload(V20)</c:v>
                </c:pt>
              </c:strCache>
            </c:strRef>
          </c:tx>
          <c:xVal>
            <c:numRef>
              <c:f>'KNXB Current Capabilities'!$A$23:$A$33</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Capabilities'!$C$23:$C$33</c:f>
              <c:numCache>
                <c:formatCode>General</c:formatCode>
                <c:ptCount val="11"/>
                <c:pt idx="0">
                  <c:v>35.700000000000003</c:v>
                </c:pt>
                <c:pt idx="1">
                  <c:v>34.299999999999997</c:v>
                </c:pt>
                <c:pt idx="2">
                  <c:v>33</c:v>
                </c:pt>
                <c:pt idx="3">
                  <c:v>31.6</c:v>
                </c:pt>
                <c:pt idx="4">
                  <c:v>30.2</c:v>
                </c:pt>
                <c:pt idx="5">
                  <c:v>28.7</c:v>
                </c:pt>
                <c:pt idx="6">
                  <c:v>27.2</c:v>
                </c:pt>
                <c:pt idx="7">
                  <c:v>25.7</c:v>
                </c:pt>
                <c:pt idx="8">
                  <c:v>24.1</c:v>
                </c:pt>
                <c:pt idx="9">
                  <c:v>22.4</c:v>
                </c:pt>
                <c:pt idx="10">
                  <c:v>20.8</c:v>
                </c:pt>
              </c:numCache>
            </c:numRef>
          </c:yVal>
          <c:smooth val="0"/>
        </c:ser>
        <c:ser>
          <c:idx val="2"/>
          <c:order val="2"/>
          <c:tx>
            <c:strRef>
              <c:f>'KNXB Current Capabilities'!$D$21:$D$22</c:f>
              <c:strCache>
                <c:ptCount val="2"/>
                <c:pt idx="0">
                  <c:v>20V/Fan4</c:v>
                </c:pt>
                <c:pt idx="1">
                  <c:v>Iload(V20)</c:v>
                </c:pt>
              </c:strCache>
            </c:strRef>
          </c:tx>
          <c:xVal>
            <c:numRef>
              <c:f>'KNXB Current Capabilities'!$A$23:$A$33</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Capabilities'!$D$23:$D$33</c:f>
              <c:numCache>
                <c:formatCode>General</c:formatCode>
                <c:ptCount val="11"/>
                <c:pt idx="0">
                  <c:v>35.4</c:v>
                </c:pt>
                <c:pt idx="1">
                  <c:v>33.5</c:v>
                </c:pt>
                <c:pt idx="2">
                  <c:v>31.6</c:v>
                </c:pt>
                <c:pt idx="3">
                  <c:v>29.6</c:v>
                </c:pt>
                <c:pt idx="4">
                  <c:v>27.6</c:v>
                </c:pt>
                <c:pt idx="5">
                  <c:v>25.4</c:v>
                </c:pt>
                <c:pt idx="6">
                  <c:v>23.2</c:v>
                </c:pt>
                <c:pt idx="7">
                  <c:v>20.9</c:v>
                </c:pt>
                <c:pt idx="8">
                  <c:v>18.5</c:v>
                </c:pt>
                <c:pt idx="9">
                  <c:v>16</c:v>
                </c:pt>
                <c:pt idx="10">
                  <c:v>13.5</c:v>
                </c:pt>
              </c:numCache>
            </c:numRef>
          </c:yVal>
          <c:smooth val="0"/>
        </c:ser>
        <c:dLbls>
          <c:showLegendKey val="0"/>
          <c:showVal val="0"/>
          <c:showCatName val="0"/>
          <c:showSerName val="0"/>
          <c:showPercent val="0"/>
          <c:showBubbleSize val="0"/>
        </c:dLbls>
        <c:axId val="208854584"/>
        <c:axId val="208911288"/>
      </c:scatterChart>
      <c:valAx>
        <c:axId val="208854584"/>
        <c:scaling>
          <c:orientation val="minMax"/>
          <c:max val="50"/>
        </c:scaling>
        <c:delete val="0"/>
        <c:axPos val="b"/>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DC1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8911288"/>
        <c:crosses val="autoZero"/>
        <c:crossBetween val="midCat"/>
      </c:valAx>
      <c:valAx>
        <c:axId val="208911288"/>
        <c:scaling>
          <c:orientation val="minMax"/>
        </c:scaling>
        <c:delete val="0"/>
        <c:axPos val="l"/>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20V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8854584"/>
        <c:crosses val="autoZero"/>
        <c:crossBetween val="midCat"/>
      </c:valAx>
    </c:plotArea>
    <c:legend>
      <c:legendPos val="r"/>
      <c:layout>
        <c:manualLayout>
          <c:xMode val="edge"/>
          <c:yMode val="edge"/>
          <c:x val="0.1309967845659164"/>
          <c:y val="0.65613594910805639"/>
          <c:w val="0.2452090032154341"/>
          <c:h val="0.17513717564965392"/>
        </c:manualLayou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20V LDO load vs DC1-3.3V load @Ibus=26mA</a:t>
            </a:r>
          </a:p>
        </c:rich>
      </c:tx>
      <c:overlay val="0"/>
    </c:title>
    <c:autoTitleDeleted val="0"/>
    <c:plotArea>
      <c:layout>
        <c:manualLayout>
          <c:layoutTarget val="inner"/>
          <c:xMode val="edge"/>
          <c:yMode val="edge"/>
          <c:x val="0.10100935936062655"/>
          <c:y val="0.13584361276874288"/>
          <c:w val="0.84112886210767113"/>
          <c:h val="0.71482081688941523"/>
        </c:manualLayout>
      </c:layout>
      <c:scatterChart>
        <c:scatterStyle val="lineMarker"/>
        <c:varyColors val="0"/>
        <c:ser>
          <c:idx val="0"/>
          <c:order val="0"/>
          <c:tx>
            <c:strRef>
              <c:f>'KNXB Current Capabilities'!$G$21:$G$22</c:f>
              <c:strCache>
                <c:ptCount val="2"/>
                <c:pt idx="0">
                  <c:v>30V/Fan2.6</c:v>
                </c:pt>
                <c:pt idx="1">
                  <c:v>Iload(V20)</c:v>
                </c:pt>
              </c:strCache>
            </c:strRef>
          </c:tx>
          <c:xVal>
            <c:numRef>
              <c:f>'KNXB Current Capabilities'!$A$23:$A$33</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Capabilities'!$G$23:$G$33</c:f>
              <c:numCache>
                <c:formatCode>General</c:formatCode>
                <c:ptCount val="11"/>
                <c:pt idx="0">
                  <c:v>22.5</c:v>
                </c:pt>
                <c:pt idx="1">
                  <c:v>21.2</c:v>
                </c:pt>
                <c:pt idx="2">
                  <c:v>20</c:v>
                </c:pt>
                <c:pt idx="3">
                  <c:v>18.7</c:v>
                </c:pt>
                <c:pt idx="4">
                  <c:v>17.3</c:v>
                </c:pt>
                <c:pt idx="5">
                  <c:v>16</c:v>
                </c:pt>
                <c:pt idx="6">
                  <c:v>14.6</c:v>
                </c:pt>
                <c:pt idx="7">
                  <c:v>13.2</c:v>
                </c:pt>
                <c:pt idx="8">
                  <c:v>11.7</c:v>
                </c:pt>
                <c:pt idx="9">
                  <c:v>10.199999999999999</c:v>
                </c:pt>
                <c:pt idx="10">
                  <c:v>8.6</c:v>
                </c:pt>
              </c:numCache>
            </c:numRef>
          </c:yVal>
          <c:smooth val="0"/>
        </c:ser>
        <c:ser>
          <c:idx val="1"/>
          <c:order val="1"/>
          <c:tx>
            <c:strRef>
              <c:f>'KNXB Current Capabilities'!$H$21:$H$22</c:f>
              <c:strCache>
                <c:ptCount val="2"/>
                <c:pt idx="0">
                  <c:v>28V/Fan2.6</c:v>
                </c:pt>
                <c:pt idx="1">
                  <c:v>Iload(V20)</c:v>
                </c:pt>
              </c:strCache>
            </c:strRef>
          </c:tx>
          <c:xVal>
            <c:numRef>
              <c:f>'KNXB Current Capabilities'!$A$23:$A$33</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Capabilities'!$H$23:$H$33</c:f>
              <c:numCache>
                <c:formatCode>General</c:formatCode>
                <c:ptCount val="11"/>
                <c:pt idx="0">
                  <c:v>22.4</c:v>
                </c:pt>
                <c:pt idx="1">
                  <c:v>21.1</c:v>
                </c:pt>
                <c:pt idx="2">
                  <c:v>19.7</c:v>
                </c:pt>
                <c:pt idx="3">
                  <c:v>18.399999999999999</c:v>
                </c:pt>
                <c:pt idx="4">
                  <c:v>16.899999999999999</c:v>
                </c:pt>
                <c:pt idx="5">
                  <c:v>15.5</c:v>
                </c:pt>
                <c:pt idx="6">
                  <c:v>14</c:v>
                </c:pt>
                <c:pt idx="7">
                  <c:v>12.4</c:v>
                </c:pt>
                <c:pt idx="8">
                  <c:v>10.9</c:v>
                </c:pt>
                <c:pt idx="9">
                  <c:v>9.1999999999999993</c:v>
                </c:pt>
                <c:pt idx="10">
                  <c:v>7.6</c:v>
                </c:pt>
              </c:numCache>
            </c:numRef>
          </c:yVal>
          <c:smooth val="0"/>
        </c:ser>
        <c:ser>
          <c:idx val="2"/>
          <c:order val="2"/>
          <c:tx>
            <c:strRef>
              <c:f>'KNXB Current Capabilities'!$I$21:$I$22</c:f>
              <c:strCache>
                <c:ptCount val="2"/>
                <c:pt idx="0">
                  <c:v>20V/Fan2.6</c:v>
                </c:pt>
                <c:pt idx="1">
                  <c:v>Iload(V20)</c:v>
                </c:pt>
              </c:strCache>
            </c:strRef>
          </c:tx>
          <c:xVal>
            <c:numRef>
              <c:f>'KNXB Current Capabilities'!$A$23:$A$33</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Capabilities'!$I$23:$I$33</c:f>
              <c:numCache>
                <c:formatCode>General</c:formatCode>
                <c:ptCount val="11"/>
                <c:pt idx="0">
                  <c:v>22.2</c:v>
                </c:pt>
                <c:pt idx="1">
                  <c:v>20.3</c:v>
                </c:pt>
                <c:pt idx="2">
                  <c:v>18.399999999999999</c:v>
                </c:pt>
                <c:pt idx="3">
                  <c:v>16.399999999999999</c:v>
                </c:pt>
                <c:pt idx="4">
                  <c:v>14.3</c:v>
                </c:pt>
                <c:pt idx="5">
                  <c:v>12.2</c:v>
                </c:pt>
                <c:pt idx="6">
                  <c:v>10</c:v>
                </c:pt>
                <c:pt idx="7">
                  <c:v>7.7</c:v>
                </c:pt>
                <c:pt idx="8">
                  <c:v>5.3</c:v>
                </c:pt>
                <c:pt idx="9">
                  <c:v>2.9</c:v>
                </c:pt>
                <c:pt idx="10">
                  <c:v>0.3</c:v>
                </c:pt>
              </c:numCache>
            </c:numRef>
          </c:yVal>
          <c:smooth val="0"/>
        </c:ser>
        <c:dLbls>
          <c:showLegendKey val="0"/>
          <c:showVal val="0"/>
          <c:showCatName val="0"/>
          <c:showSerName val="0"/>
          <c:showPercent val="0"/>
          <c:showBubbleSize val="0"/>
        </c:dLbls>
        <c:axId val="208810144"/>
        <c:axId val="163679240"/>
      </c:scatterChart>
      <c:valAx>
        <c:axId val="208810144"/>
        <c:scaling>
          <c:orientation val="minMax"/>
          <c:max val="50"/>
        </c:scaling>
        <c:delete val="0"/>
        <c:axPos val="b"/>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DC1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63679240"/>
        <c:crosses val="autoZero"/>
        <c:crossBetween val="midCat"/>
      </c:valAx>
      <c:valAx>
        <c:axId val="163679240"/>
        <c:scaling>
          <c:orientation val="minMax"/>
        </c:scaling>
        <c:delete val="0"/>
        <c:axPos val="l"/>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20V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8810144"/>
        <c:crosses val="autoZero"/>
        <c:crossBetween val="midCat"/>
      </c:valAx>
    </c:plotArea>
    <c:legend>
      <c:legendPos val="r"/>
      <c:layout>
        <c:manualLayout>
          <c:xMode val="edge"/>
          <c:yMode val="edge"/>
          <c:x val="0.1309967845659164"/>
          <c:y val="0.65613594910805639"/>
          <c:w val="0.25991425509110394"/>
          <c:h val="0.17513717564965392"/>
        </c:manualLayou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DC2-16V load vs DC1-3.3V load @Ibus=20mA</a:t>
            </a:r>
          </a:p>
        </c:rich>
      </c:tx>
      <c:overlay val="0"/>
    </c:title>
    <c:autoTitleDeleted val="0"/>
    <c:plotArea>
      <c:layout>
        <c:manualLayout>
          <c:layoutTarget val="inner"/>
          <c:xMode val="edge"/>
          <c:yMode val="edge"/>
          <c:x val="0.10100935936062655"/>
          <c:y val="0.13584361276874288"/>
          <c:w val="0.8411288621076709"/>
          <c:h val="0.71482081688941479"/>
        </c:manualLayout>
      </c:layout>
      <c:scatterChart>
        <c:scatterStyle val="lineMarker"/>
        <c:varyColors val="0"/>
        <c:ser>
          <c:idx val="0"/>
          <c:order val="0"/>
          <c:tx>
            <c:strRef>
              <c:f>'KNXB Current Capabilities'!$B$36:$B$37</c:f>
              <c:strCache>
                <c:ptCount val="2"/>
                <c:pt idx="0">
                  <c:v>30V/Fan2</c:v>
                </c:pt>
                <c:pt idx="1">
                  <c:v>Iload(DC2)</c:v>
                </c:pt>
              </c:strCache>
            </c:strRef>
          </c:tx>
          <c:xVal>
            <c:numRef>
              <c:f>'KNXB Current Capabilities'!$A$38:$A$48</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Capabilities'!$B$38:$B$48</c:f>
              <c:numCache>
                <c:formatCode>General</c:formatCode>
                <c:ptCount val="11"/>
                <c:pt idx="0">
                  <c:v>27.7</c:v>
                </c:pt>
                <c:pt idx="1">
                  <c:v>25.5</c:v>
                </c:pt>
                <c:pt idx="2">
                  <c:v>23.3</c:v>
                </c:pt>
                <c:pt idx="3">
                  <c:v>21.1</c:v>
                </c:pt>
                <c:pt idx="4">
                  <c:v>18.8</c:v>
                </c:pt>
                <c:pt idx="5">
                  <c:v>16.5</c:v>
                </c:pt>
                <c:pt idx="6">
                  <c:v>14.1</c:v>
                </c:pt>
                <c:pt idx="7">
                  <c:v>11.7</c:v>
                </c:pt>
                <c:pt idx="8">
                  <c:v>9.1999999999999993</c:v>
                </c:pt>
                <c:pt idx="9">
                  <c:v>6.7</c:v>
                </c:pt>
                <c:pt idx="10">
                  <c:v>4.0999999999999996</c:v>
                </c:pt>
              </c:numCache>
            </c:numRef>
          </c:yVal>
          <c:smooth val="0"/>
        </c:ser>
        <c:ser>
          <c:idx val="1"/>
          <c:order val="1"/>
          <c:tx>
            <c:strRef>
              <c:f>'KNXB Current Capabilities'!$C$36:$C$37</c:f>
              <c:strCache>
                <c:ptCount val="2"/>
                <c:pt idx="0">
                  <c:v>28V/Fan2</c:v>
                </c:pt>
                <c:pt idx="1">
                  <c:v>Iload(DC2)</c:v>
                </c:pt>
              </c:strCache>
            </c:strRef>
          </c:tx>
          <c:xVal>
            <c:numRef>
              <c:f>'KNXB Current Capabilities'!$A$38:$A$48</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Capabilities'!$C$38:$C$48</c:f>
              <c:numCache>
                <c:formatCode>General</c:formatCode>
                <c:ptCount val="11"/>
                <c:pt idx="0">
                  <c:v>25.7</c:v>
                </c:pt>
                <c:pt idx="1">
                  <c:v>23.5</c:v>
                </c:pt>
                <c:pt idx="2">
                  <c:v>21.3</c:v>
                </c:pt>
                <c:pt idx="3">
                  <c:v>19.100000000000001</c:v>
                </c:pt>
                <c:pt idx="4">
                  <c:v>16.8</c:v>
                </c:pt>
                <c:pt idx="5">
                  <c:v>14.5</c:v>
                </c:pt>
                <c:pt idx="6">
                  <c:v>12.1</c:v>
                </c:pt>
                <c:pt idx="7">
                  <c:v>9.6999999999999993</c:v>
                </c:pt>
                <c:pt idx="8">
                  <c:v>7.2</c:v>
                </c:pt>
                <c:pt idx="9">
                  <c:v>4.7</c:v>
                </c:pt>
                <c:pt idx="10">
                  <c:v>2.2000000000000002</c:v>
                </c:pt>
              </c:numCache>
            </c:numRef>
          </c:yVal>
          <c:smooth val="0"/>
        </c:ser>
        <c:ser>
          <c:idx val="2"/>
          <c:order val="2"/>
          <c:tx>
            <c:strRef>
              <c:f>'KNXB Current Capabilities'!$D$36:$D$37</c:f>
              <c:strCache>
                <c:ptCount val="2"/>
                <c:pt idx="0">
                  <c:v>20V/Fan2</c:v>
                </c:pt>
                <c:pt idx="1">
                  <c:v>Iload(DC2)</c:v>
                </c:pt>
              </c:strCache>
            </c:strRef>
          </c:tx>
          <c:xVal>
            <c:numRef>
              <c:f>'KNXB Current Capabilities'!$A$38:$A$48</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Capabilities'!$D$38:$D$48</c:f>
              <c:numCache>
                <c:formatCode>General</c:formatCode>
                <c:ptCount val="11"/>
                <c:pt idx="0">
                  <c:v>17.600000000000001</c:v>
                </c:pt>
                <c:pt idx="1">
                  <c:v>15.5</c:v>
                </c:pt>
                <c:pt idx="2">
                  <c:v>13.3</c:v>
                </c:pt>
                <c:pt idx="3">
                  <c:v>11.1</c:v>
                </c:pt>
                <c:pt idx="4">
                  <c:v>8.8000000000000007</c:v>
                </c:pt>
                <c:pt idx="5">
                  <c:v>6.4</c:v>
                </c:pt>
                <c:pt idx="6">
                  <c:v>4</c:v>
                </c:pt>
                <c:pt idx="7">
                  <c:v>1.6</c:v>
                </c:pt>
              </c:numCache>
            </c:numRef>
          </c:yVal>
          <c:smooth val="0"/>
        </c:ser>
        <c:dLbls>
          <c:showLegendKey val="0"/>
          <c:showVal val="0"/>
          <c:showCatName val="0"/>
          <c:showSerName val="0"/>
          <c:showPercent val="0"/>
          <c:showBubbleSize val="0"/>
        </c:dLbls>
        <c:axId val="209413064"/>
        <c:axId val="209413456"/>
      </c:scatterChart>
      <c:valAx>
        <c:axId val="209413064"/>
        <c:scaling>
          <c:orientation val="minMax"/>
          <c:max val="50"/>
        </c:scaling>
        <c:delete val="0"/>
        <c:axPos val="b"/>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DC1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9413456"/>
        <c:crosses val="autoZero"/>
        <c:crossBetween val="midCat"/>
      </c:valAx>
      <c:valAx>
        <c:axId val="209413456"/>
        <c:scaling>
          <c:orientation val="minMax"/>
        </c:scaling>
        <c:delete val="0"/>
        <c:axPos val="l"/>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DC2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9413064"/>
        <c:crosses val="autoZero"/>
        <c:crossBetween val="midCat"/>
      </c:valAx>
    </c:plotArea>
    <c:legend>
      <c:legendPos val="r"/>
      <c:layout>
        <c:manualLayout>
          <c:xMode val="edge"/>
          <c:yMode val="edge"/>
          <c:x val="0.1159914255091104"/>
          <c:y val="0.65613594910805639"/>
          <c:w val="0.2452090032154341"/>
          <c:h val="0.17513717564965392"/>
        </c:manualLayou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DC2-16V load vs DC1-3.3V load @Ibus=10mA</a:t>
            </a:r>
          </a:p>
        </c:rich>
      </c:tx>
      <c:overlay val="0"/>
    </c:title>
    <c:autoTitleDeleted val="0"/>
    <c:plotArea>
      <c:layout>
        <c:manualLayout>
          <c:layoutTarget val="inner"/>
          <c:xMode val="edge"/>
          <c:yMode val="edge"/>
          <c:x val="0.10100935936062655"/>
          <c:y val="0.13584361276874288"/>
          <c:w val="0.84112886210767113"/>
          <c:h val="0.71482081688941523"/>
        </c:manualLayout>
      </c:layout>
      <c:scatterChart>
        <c:scatterStyle val="lineMarker"/>
        <c:varyColors val="0"/>
        <c:ser>
          <c:idx val="0"/>
          <c:order val="0"/>
          <c:tx>
            <c:strRef>
              <c:f>'KNXB Current Capabilities'!$G$36:$G$37</c:f>
              <c:strCache>
                <c:ptCount val="2"/>
                <c:pt idx="0">
                  <c:v>30V/Fan1</c:v>
                </c:pt>
                <c:pt idx="1">
                  <c:v>Iload(DC2)</c:v>
                </c:pt>
              </c:strCache>
            </c:strRef>
          </c:tx>
          <c:xVal>
            <c:numRef>
              <c:f>'KNXB Current Capabilities'!$A$38:$A$48</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Capabilities'!$G$38:$G$48</c:f>
              <c:numCache>
                <c:formatCode>General</c:formatCode>
                <c:ptCount val="11"/>
                <c:pt idx="0">
                  <c:v>12</c:v>
                </c:pt>
                <c:pt idx="1">
                  <c:v>9.8000000000000007</c:v>
                </c:pt>
                <c:pt idx="2">
                  <c:v>7.6</c:v>
                </c:pt>
                <c:pt idx="3">
                  <c:v>5.4</c:v>
                </c:pt>
                <c:pt idx="4">
                  <c:v>3.1</c:v>
                </c:pt>
                <c:pt idx="5">
                  <c:v>0.8</c:v>
                </c:pt>
              </c:numCache>
            </c:numRef>
          </c:yVal>
          <c:smooth val="0"/>
        </c:ser>
        <c:ser>
          <c:idx val="1"/>
          <c:order val="1"/>
          <c:tx>
            <c:strRef>
              <c:f>'KNXB Current Capabilities'!$H$36:$H$37</c:f>
              <c:strCache>
                <c:ptCount val="2"/>
                <c:pt idx="0">
                  <c:v>28V/Fan1</c:v>
                </c:pt>
                <c:pt idx="1">
                  <c:v>Iload(DC2)</c:v>
                </c:pt>
              </c:strCache>
            </c:strRef>
          </c:tx>
          <c:xVal>
            <c:numRef>
              <c:f>'KNXB Current Capabilities'!$A$38:$A$48</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Capabilities'!$H$38:$H$48</c:f>
              <c:numCache>
                <c:formatCode>General</c:formatCode>
                <c:ptCount val="11"/>
                <c:pt idx="0">
                  <c:v>11.1</c:v>
                </c:pt>
                <c:pt idx="1">
                  <c:v>8.9</c:v>
                </c:pt>
                <c:pt idx="2">
                  <c:v>6.7</c:v>
                </c:pt>
                <c:pt idx="3">
                  <c:v>4.5</c:v>
                </c:pt>
                <c:pt idx="4">
                  <c:v>2.2000000000000002</c:v>
                </c:pt>
                <c:pt idx="5">
                  <c:v>0</c:v>
                </c:pt>
              </c:numCache>
            </c:numRef>
          </c:yVal>
          <c:smooth val="0"/>
        </c:ser>
        <c:ser>
          <c:idx val="2"/>
          <c:order val="2"/>
          <c:tx>
            <c:strRef>
              <c:f>'KNXB Current Capabilities'!$I$36:$I$37</c:f>
              <c:strCache>
                <c:ptCount val="2"/>
                <c:pt idx="0">
                  <c:v>20V/Fan1</c:v>
                </c:pt>
                <c:pt idx="1">
                  <c:v>Iload(DC2)</c:v>
                </c:pt>
              </c:strCache>
            </c:strRef>
          </c:tx>
          <c:xVal>
            <c:numRef>
              <c:f>'KNXB Current Capabilities'!$A$38:$A$48</c:f>
              <c:numCache>
                <c:formatCode>General</c:formatCode>
                <c:ptCount val="11"/>
                <c:pt idx="0">
                  <c:v>0</c:v>
                </c:pt>
                <c:pt idx="1">
                  <c:v>10</c:v>
                </c:pt>
                <c:pt idx="2">
                  <c:v>20</c:v>
                </c:pt>
                <c:pt idx="3">
                  <c:v>30</c:v>
                </c:pt>
                <c:pt idx="4">
                  <c:v>40</c:v>
                </c:pt>
                <c:pt idx="5">
                  <c:v>50</c:v>
                </c:pt>
                <c:pt idx="6">
                  <c:v>60</c:v>
                </c:pt>
                <c:pt idx="7">
                  <c:v>70</c:v>
                </c:pt>
                <c:pt idx="8">
                  <c:v>80</c:v>
                </c:pt>
                <c:pt idx="9">
                  <c:v>90</c:v>
                </c:pt>
                <c:pt idx="10">
                  <c:v>100</c:v>
                </c:pt>
              </c:numCache>
            </c:numRef>
          </c:xVal>
          <c:yVal>
            <c:numRef>
              <c:f>'KNXB Current Capabilities'!$I$38:$I$48</c:f>
              <c:numCache>
                <c:formatCode>General</c:formatCode>
                <c:ptCount val="11"/>
                <c:pt idx="0">
                  <c:v>7.6</c:v>
                </c:pt>
                <c:pt idx="1">
                  <c:v>5.4</c:v>
                </c:pt>
                <c:pt idx="2">
                  <c:v>3.2</c:v>
                </c:pt>
                <c:pt idx="3">
                  <c:v>0.9</c:v>
                </c:pt>
              </c:numCache>
            </c:numRef>
          </c:yVal>
          <c:smooth val="0"/>
        </c:ser>
        <c:dLbls>
          <c:showLegendKey val="0"/>
          <c:showVal val="0"/>
          <c:showCatName val="0"/>
          <c:showSerName val="0"/>
          <c:showPercent val="0"/>
          <c:showBubbleSize val="0"/>
        </c:dLbls>
        <c:axId val="209414240"/>
        <c:axId val="209414632"/>
      </c:scatterChart>
      <c:valAx>
        <c:axId val="209414240"/>
        <c:scaling>
          <c:orientation val="minMax"/>
          <c:max val="50"/>
        </c:scaling>
        <c:delete val="0"/>
        <c:axPos val="b"/>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DC1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9414632"/>
        <c:crosses val="autoZero"/>
        <c:crossBetween val="midCat"/>
      </c:valAx>
      <c:valAx>
        <c:axId val="209414632"/>
        <c:scaling>
          <c:orientation val="minMax"/>
        </c:scaling>
        <c:delete val="0"/>
        <c:axPos val="l"/>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DC2 external load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9414240"/>
        <c:crosses val="autoZero"/>
        <c:crossBetween val="midCat"/>
      </c:valAx>
    </c:plotArea>
    <c:legend>
      <c:legendPos val="r"/>
      <c:layout>
        <c:manualLayout>
          <c:xMode val="edge"/>
          <c:yMode val="edge"/>
          <c:x val="0.1309967845659164"/>
          <c:y val="0.65613594910805639"/>
          <c:w val="0.26148990218666396"/>
          <c:h val="0.17513717564965392"/>
        </c:manualLayou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44" l="0.7000000000000004" r="0.7000000000000004" t="0.75000000000000044" header="0.30000000000000021" footer="0.3000000000000002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Self consumption NCN5121/NCN5130</a:t>
            </a:r>
          </a:p>
        </c:rich>
      </c:tx>
      <c:overlay val="0"/>
    </c:title>
    <c:autoTitleDeleted val="0"/>
    <c:plotArea>
      <c:layout>
        <c:manualLayout>
          <c:layoutTarget val="inner"/>
          <c:xMode val="edge"/>
          <c:yMode val="edge"/>
          <c:x val="8.7327751577226984E-2"/>
          <c:y val="0.11220680058649857"/>
          <c:w val="0.88544712913524337"/>
          <c:h val="0.7644420442116443"/>
        </c:manualLayout>
      </c:layout>
      <c:scatterChart>
        <c:scatterStyle val="lineMarker"/>
        <c:varyColors val="0"/>
        <c:ser>
          <c:idx val="0"/>
          <c:order val="0"/>
          <c:tx>
            <c:strRef>
              <c:f>'KNXB Self Consumption'!$B$1</c:f>
              <c:strCache>
                <c:ptCount val="1"/>
                <c:pt idx="0">
                  <c:v>NCN5121/NCN5130 - Default</c:v>
                </c:pt>
              </c:strCache>
            </c:strRef>
          </c:tx>
          <c:spPr>
            <a:ln>
              <a:solidFill>
                <a:schemeClr val="accent3">
                  <a:lumMod val="60000"/>
                  <a:lumOff val="40000"/>
                </a:schemeClr>
              </a:solidFill>
            </a:ln>
          </c:spPr>
          <c:marker>
            <c:spPr>
              <a:noFill/>
              <a:ln>
                <a:solidFill>
                  <a:srgbClr val="9BBB59">
                    <a:lumMod val="60000"/>
                    <a:lumOff val="40000"/>
                  </a:srgbClr>
                </a:solidFill>
              </a:ln>
            </c:spPr>
          </c:marker>
          <c:xVal>
            <c:numRef>
              <c:f>'KNXB Self Consumption'!$A$2:$A$7</c:f>
              <c:numCache>
                <c:formatCode>General</c:formatCode>
                <c:ptCount val="6"/>
                <c:pt idx="0">
                  <c:v>20</c:v>
                </c:pt>
                <c:pt idx="1">
                  <c:v>22</c:v>
                </c:pt>
                <c:pt idx="2">
                  <c:v>24</c:v>
                </c:pt>
                <c:pt idx="3">
                  <c:v>26</c:v>
                </c:pt>
                <c:pt idx="4">
                  <c:v>28</c:v>
                </c:pt>
                <c:pt idx="5">
                  <c:v>30</c:v>
                </c:pt>
              </c:numCache>
            </c:numRef>
          </c:xVal>
          <c:yVal>
            <c:numRef>
              <c:f>'KNXB Self Consumption'!$B$2:$B$7</c:f>
              <c:numCache>
                <c:formatCode>General</c:formatCode>
                <c:ptCount val="6"/>
                <c:pt idx="0">
                  <c:v>2.96</c:v>
                </c:pt>
                <c:pt idx="1">
                  <c:v>2.85</c:v>
                </c:pt>
                <c:pt idx="2">
                  <c:v>2.77</c:v>
                </c:pt>
                <c:pt idx="3">
                  <c:v>2.7</c:v>
                </c:pt>
                <c:pt idx="4">
                  <c:v>2.65</c:v>
                </c:pt>
                <c:pt idx="5">
                  <c:v>2.61</c:v>
                </c:pt>
              </c:numCache>
            </c:numRef>
          </c:yVal>
          <c:smooth val="0"/>
        </c:ser>
        <c:ser>
          <c:idx val="1"/>
          <c:order val="1"/>
          <c:tx>
            <c:strRef>
              <c:f>'KNXB Self Consumption'!$C$1</c:f>
              <c:strCache>
                <c:ptCount val="1"/>
                <c:pt idx="0">
                  <c:v>NCN5121/NCN5130 - DC2 disabled</c:v>
                </c:pt>
              </c:strCache>
            </c:strRef>
          </c:tx>
          <c:spPr>
            <a:ln>
              <a:solidFill>
                <a:srgbClr val="92D050"/>
              </a:solidFill>
            </a:ln>
          </c:spPr>
          <c:marker>
            <c:spPr>
              <a:noFill/>
              <a:ln>
                <a:solidFill>
                  <a:srgbClr val="92D050"/>
                </a:solidFill>
              </a:ln>
            </c:spPr>
          </c:marker>
          <c:xVal>
            <c:numRef>
              <c:f>'KNXB Self Consumption'!$A$2:$A$7</c:f>
              <c:numCache>
                <c:formatCode>General</c:formatCode>
                <c:ptCount val="6"/>
                <c:pt idx="0">
                  <c:v>20</c:v>
                </c:pt>
                <c:pt idx="1">
                  <c:v>22</c:v>
                </c:pt>
                <c:pt idx="2">
                  <c:v>24</c:v>
                </c:pt>
                <c:pt idx="3">
                  <c:v>26</c:v>
                </c:pt>
                <c:pt idx="4">
                  <c:v>28</c:v>
                </c:pt>
                <c:pt idx="5">
                  <c:v>30</c:v>
                </c:pt>
              </c:numCache>
            </c:numRef>
          </c:xVal>
          <c:yVal>
            <c:numRef>
              <c:f>'KNXB Self Consumption'!$C$2:$C$7</c:f>
              <c:numCache>
                <c:formatCode>General</c:formatCode>
                <c:ptCount val="6"/>
                <c:pt idx="0">
                  <c:v>2.5299999999999998</c:v>
                </c:pt>
                <c:pt idx="1">
                  <c:v>2.44</c:v>
                </c:pt>
                <c:pt idx="2">
                  <c:v>2.38</c:v>
                </c:pt>
                <c:pt idx="3">
                  <c:v>2.3199999999999998</c:v>
                </c:pt>
                <c:pt idx="4">
                  <c:v>2.2799999999999998</c:v>
                </c:pt>
                <c:pt idx="5">
                  <c:v>2.2400000000000002</c:v>
                </c:pt>
              </c:numCache>
            </c:numRef>
          </c:yVal>
          <c:smooth val="0"/>
        </c:ser>
        <c:ser>
          <c:idx val="2"/>
          <c:order val="2"/>
          <c:tx>
            <c:strRef>
              <c:f>'KNXB Self Consumption'!$D$1</c:f>
              <c:strCache>
                <c:ptCount val="1"/>
                <c:pt idx="0">
                  <c:v>NCN5121/NCN5130 - 20V disabled</c:v>
                </c:pt>
              </c:strCache>
            </c:strRef>
          </c:tx>
          <c:xVal>
            <c:numRef>
              <c:f>'KNXB Self Consumption'!$A$2:$A$7</c:f>
              <c:numCache>
                <c:formatCode>General</c:formatCode>
                <c:ptCount val="6"/>
                <c:pt idx="0">
                  <c:v>20</c:v>
                </c:pt>
                <c:pt idx="1">
                  <c:v>22</c:v>
                </c:pt>
                <c:pt idx="2">
                  <c:v>24</c:v>
                </c:pt>
                <c:pt idx="3">
                  <c:v>26</c:v>
                </c:pt>
                <c:pt idx="4">
                  <c:v>28</c:v>
                </c:pt>
                <c:pt idx="5">
                  <c:v>30</c:v>
                </c:pt>
              </c:numCache>
            </c:numRef>
          </c:xVal>
          <c:yVal>
            <c:numRef>
              <c:f>'KNXB Self Consumption'!$D$2:$D$7</c:f>
              <c:numCache>
                <c:formatCode>General</c:formatCode>
                <c:ptCount val="6"/>
                <c:pt idx="0">
                  <c:v>2.87</c:v>
                </c:pt>
                <c:pt idx="1">
                  <c:v>2.76</c:v>
                </c:pt>
                <c:pt idx="2">
                  <c:v>2.68</c:v>
                </c:pt>
                <c:pt idx="3">
                  <c:v>2.61</c:v>
                </c:pt>
                <c:pt idx="4">
                  <c:v>2.57</c:v>
                </c:pt>
                <c:pt idx="5">
                  <c:v>2.52</c:v>
                </c:pt>
              </c:numCache>
            </c:numRef>
          </c:yVal>
          <c:smooth val="0"/>
        </c:ser>
        <c:ser>
          <c:idx val="3"/>
          <c:order val="3"/>
          <c:tx>
            <c:strRef>
              <c:f>'KNXB Self Consumption'!$E$1</c:f>
              <c:strCache>
                <c:ptCount val="1"/>
                <c:pt idx="0">
                  <c:v>NCN5121/NCN5130 - DC2, 20V, XTAL disabled</c:v>
                </c:pt>
              </c:strCache>
            </c:strRef>
          </c:tx>
          <c:spPr>
            <a:ln>
              <a:solidFill>
                <a:srgbClr val="00B050"/>
              </a:solidFill>
            </a:ln>
          </c:spPr>
          <c:marker>
            <c:spPr>
              <a:noFill/>
              <a:ln>
                <a:solidFill>
                  <a:srgbClr val="00B050"/>
                </a:solidFill>
              </a:ln>
            </c:spPr>
          </c:marker>
          <c:xVal>
            <c:numRef>
              <c:f>'KNXB Self Consumption'!$A$2:$A$7</c:f>
              <c:numCache>
                <c:formatCode>General</c:formatCode>
                <c:ptCount val="6"/>
                <c:pt idx="0">
                  <c:v>20</c:v>
                </c:pt>
                <c:pt idx="1">
                  <c:v>22</c:v>
                </c:pt>
                <c:pt idx="2">
                  <c:v>24</c:v>
                </c:pt>
                <c:pt idx="3">
                  <c:v>26</c:v>
                </c:pt>
                <c:pt idx="4">
                  <c:v>28</c:v>
                </c:pt>
                <c:pt idx="5">
                  <c:v>30</c:v>
                </c:pt>
              </c:numCache>
            </c:numRef>
          </c:xVal>
          <c:yVal>
            <c:numRef>
              <c:f>'KNXB Self Consumption'!$E$2:$E$7</c:f>
              <c:numCache>
                <c:formatCode>General</c:formatCode>
                <c:ptCount val="6"/>
                <c:pt idx="0">
                  <c:v>2.1</c:v>
                </c:pt>
                <c:pt idx="1">
                  <c:v>2.0299999999999998</c:v>
                </c:pt>
                <c:pt idx="2">
                  <c:v>1.99</c:v>
                </c:pt>
                <c:pt idx="3">
                  <c:v>1.95</c:v>
                </c:pt>
                <c:pt idx="4">
                  <c:v>1.93</c:v>
                </c:pt>
                <c:pt idx="5">
                  <c:v>1.92</c:v>
                </c:pt>
              </c:numCache>
            </c:numRef>
          </c:yVal>
          <c:smooth val="0"/>
        </c:ser>
        <c:ser>
          <c:idx val="4"/>
          <c:order val="4"/>
          <c:tx>
            <c:strRef>
              <c:f>'KNXB Self Consumption'!$F$1</c:f>
              <c:strCache>
                <c:ptCount val="1"/>
                <c:pt idx="0">
                  <c:v>NCN5130 - Default with 100% bus communication (all zero's)</c:v>
                </c:pt>
              </c:strCache>
            </c:strRef>
          </c:tx>
          <c:spPr>
            <a:ln>
              <a:solidFill>
                <a:schemeClr val="bg1">
                  <a:lumMod val="65000"/>
                </a:schemeClr>
              </a:solidFill>
            </a:ln>
          </c:spPr>
          <c:marker>
            <c:spPr>
              <a:noFill/>
              <a:ln>
                <a:solidFill>
                  <a:prstClr val="white">
                    <a:lumMod val="65000"/>
                  </a:prstClr>
                </a:solidFill>
              </a:ln>
            </c:spPr>
          </c:marker>
          <c:xVal>
            <c:numRef>
              <c:f>'KNXB Self Consumption'!$A$2:$A$7</c:f>
              <c:numCache>
                <c:formatCode>General</c:formatCode>
                <c:ptCount val="6"/>
                <c:pt idx="0">
                  <c:v>20</c:v>
                </c:pt>
                <c:pt idx="1">
                  <c:v>22</c:v>
                </c:pt>
                <c:pt idx="2">
                  <c:v>24</c:v>
                </c:pt>
                <c:pt idx="3">
                  <c:v>26</c:v>
                </c:pt>
                <c:pt idx="4">
                  <c:v>28</c:v>
                </c:pt>
                <c:pt idx="5">
                  <c:v>30</c:v>
                </c:pt>
              </c:numCache>
            </c:numRef>
          </c:xVal>
          <c:yVal>
            <c:numRef>
              <c:f>'KNXB Self Consumption'!$F$2:$F$7</c:f>
              <c:numCache>
                <c:formatCode>General</c:formatCode>
                <c:ptCount val="6"/>
                <c:pt idx="0">
                  <c:v>3.47</c:v>
                </c:pt>
                <c:pt idx="1">
                  <c:v>3.33</c:v>
                </c:pt>
                <c:pt idx="2">
                  <c:v>3.23</c:v>
                </c:pt>
                <c:pt idx="3">
                  <c:v>3.14</c:v>
                </c:pt>
                <c:pt idx="4">
                  <c:v>3.09</c:v>
                </c:pt>
                <c:pt idx="5">
                  <c:v>3.04</c:v>
                </c:pt>
              </c:numCache>
            </c:numRef>
          </c:yVal>
          <c:smooth val="0"/>
        </c:ser>
        <c:ser>
          <c:idx val="5"/>
          <c:order val="5"/>
          <c:tx>
            <c:strRef>
              <c:f>'KNXB Self Consumption'!$G$1</c:f>
              <c:strCache>
                <c:ptCount val="1"/>
                <c:pt idx="0">
                  <c:v>NCN5121 - Default with 100% bus communication (all zero's)</c:v>
                </c:pt>
              </c:strCache>
            </c:strRef>
          </c:tx>
          <c:spPr>
            <a:ln>
              <a:solidFill>
                <a:schemeClr val="bg1">
                  <a:lumMod val="85000"/>
                </a:schemeClr>
              </a:solidFill>
            </a:ln>
          </c:spPr>
          <c:marker>
            <c:spPr>
              <a:noFill/>
              <a:ln>
                <a:solidFill>
                  <a:schemeClr val="bg1">
                    <a:lumMod val="85000"/>
                  </a:schemeClr>
                </a:solidFill>
              </a:ln>
            </c:spPr>
          </c:marker>
          <c:xVal>
            <c:numRef>
              <c:f>'KNXB Self Consumption'!$A$2:$A$7</c:f>
              <c:numCache>
                <c:formatCode>General</c:formatCode>
                <c:ptCount val="6"/>
                <c:pt idx="0">
                  <c:v>20</c:v>
                </c:pt>
                <c:pt idx="1">
                  <c:v>22</c:v>
                </c:pt>
                <c:pt idx="2">
                  <c:v>24</c:v>
                </c:pt>
                <c:pt idx="3">
                  <c:v>26</c:v>
                </c:pt>
                <c:pt idx="4">
                  <c:v>28</c:v>
                </c:pt>
                <c:pt idx="5">
                  <c:v>30</c:v>
                </c:pt>
              </c:numCache>
            </c:numRef>
          </c:xVal>
          <c:yVal>
            <c:numRef>
              <c:f>'KNXB Self Consumption'!$G$2:$G$7</c:f>
              <c:numCache>
                <c:formatCode>General</c:formatCode>
                <c:ptCount val="6"/>
                <c:pt idx="0">
                  <c:v>3.78</c:v>
                </c:pt>
                <c:pt idx="1">
                  <c:v>3.62</c:v>
                </c:pt>
                <c:pt idx="2">
                  <c:v>3.5</c:v>
                </c:pt>
                <c:pt idx="3">
                  <c:v>3.4</c:v>
                </c:pt>
                <c:pt idx="4">
                  <c:v>3.33</c:v>
                </c:pt>
                <c:pt idx="5">
                  <c:v>3.28</c:v>
                </c:pt>
              </c:numCache>
            </c:numRef>
          </c:yVal>
          <c:smooth val="0"/>
        </c:ser>
        <c:dLbls>
          <c:showLegendKey val="0"/>
          <c:showVal val="0"/>
          <c:showCatName val="0"/>
          <c:showSerName val="0"/>
          <c:showPercent val="0"/>
          <c:showBubbleSize val="0"/>
        </c:dLbls>
        <c:axId val="209415416"/>
        <c:axId val="209415808"/>
      </c:scatterChart>
      <c:valAx>
        <c:axId val="209415416"/>
        <c:scaling>
          <c:orientation val="minMax"/>
          <c:max val="30"/>
          <c:min val="20"/>
        </c:scaling>
        <c:delete val="0"/>
        <c:axPos val="b"/>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Vbus (V)</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9415808"/>
        <c:crosses val="autoZero"/>
        <c:crossBetween val="midCat"/>
      </c:valAx>
      <c:valAx>
        <c:axId val="209415808"/>
        <c:scaling>
          <c:orientation val="minMax"/>
          <c:max val="5"/>
        </c:scaling>
        <c:delete val="0"/>
        <c:axPos val="l"/>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Ibus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209415416"/>
        <c:crosses val="autoZero"/>
        <c:crossBetween val="midCat"/>
      </c:valAx>
    </c:plotArea>
    <c:legend>
      <c:legendPos val="r"/>
      <c:layout>
        <c:manualLayout>
          <c:xMode val="edge"/>
          <c:yMode val="edge"/>
          <c:x val="0.11273526824978013"/>
          <c:y val="0.57464020997375331"/>
          <c:w val="0.53194371152154807"/>
          <c:h val="0.28798656167979009"/>
        </c:manualLayou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Calibri"/>
                <a:ea typeface="Calibri"/>
                <a:cs typeface="Calibri"/>
              </a:defRPr>
            </a:pPr>
            <a:r>
              <a:rPr lang="en-US"/>
              <a:t>Bus Coupler drop</a:t>
            </a:r>
          </a:p>
        </c:rich>
      </c:tx>
      <c:overlay val="0"/>
    </c:title>
    <c:autoTitleDeleted val="0"/>
    <c:plotArea>
      <c:layout>
        <c:manualLayout>
          <c:layoutTarget val="inner"/>
          <c:xMode val="edge"/>
          <c:yMode val="edge"/>
          <c:x val="9.8785882896713376E-2"/>
          <c:y val="0.1230337984067781"/>
          <c:w val="0.87063239736542364"/>
          <c:h val="0.7417127135423861"/>
        </c:manualLayout>
      </c:layout>
      <c:scatterChart>
        <c:scatterStyle val="lineMarker"/>
        <c:varyColors val="0"/>
        <c:ser>
          <c:idx val="0"/>
          <c:order val="0"/>
          <c:tx>
            <c:strRef>
              <c:f>'KNXB Bus Coupler Drop'!$B$1</c:f>
              <c:strCache>
                <c:ptCount val="1"/>
                <c:pt idx="0">
                  <c:v>NCN5121/NCN5130 typical</c:v>
                </c:pt>
              </c:strCache>
            </c:strRef>
          </c:tx>
          <c:spPr>
            <a:ln>
              <a:solidFill>
                <a:schemeClr val="accent2">
                  <a:lumMod val="60000"/>
                  <a:lumOff val="40000"/>
                </a:schemeClr>
              </a:solidFill>
            </a:ln>
          </c:spPr>
          <c:marker>
            <c:spPr>
              <a:noFill/>
              <a:ln>
                <a:solidFill>
                  <a:srgbClr val="C0504D">
                    <a:lumMod val="60000"/>
                    <a:lumOff val="40000"/>
                  </a:srgbClr>
                </a:solidFill>
              </a:ln>
            </c:spPr>
          </c:marker>
          <c:xVal>
            <c:numRef>
              <c:f>'KNXB Bus Coupler Drop'!$A$2:$A$9</c:f>
              <c:numCache>
                <c:formatCode>General</c:formatCode>
                <c:ptCount val="8"/>
                <c:pt idx="0">
                  <c:v>5</c:v>
                </c:pt>
                <c:pt idx="1">
                  <c:v>10</c:v>
                </c:pt>
                <c:pt idx="2">
                  <c:v>15</c:v>
                </c:pt>
                <c:pt idx="3">
                  <c:v>20</c:v>
                </c:pt>
                <c:pt idx="4">
                  <c:v>25</c:v>
                </c:pt>
                <c:pt idx="5">
                  <c:v>30</c:v>
                </c:pt>
                <c:pt idx="6">
                  <c:v>35</c:v>
                </c:pt>
                <c:pt idx="7">
                  <c:v>40</c:v>
                </c:pt>
              </c:numCache>
            </c:numRef>
          </c:xVal>
          <c:yVal>
            <c:numRef>
              <c:f>'KNXB Bus Coupler Drop'!$B$2:$B$9</c:f>
              <c:numCache>
                <c:formatCode>General</c:formatCode>
                <c:ptCount val="8"/>
                <c:pt idx="0">
                  <c:v>1.44</c:v>
                </c:pt>
                <c:pt idx="1">
                  <c:v>1.75</c:v>
                </c:pt>
                <c:pt idx="2">
                  <c:v>2.0499999999999998</c:v>
                </c:pt>
                <c:pt idx="3">
                  <c:v>2.35</c:v>
                </c:pt>
                <c:pt idx="4">
                  <c:v>2.65</c:v>
                </c:pt>
                <c:pt idx="5">
                  <c:v>2.95</c:v>
                </c:pt>
                <c:pt idx="6">
                  <c:v>3.25</c:v>
                </c:pt>
                <c:pt idx="7">
                  <c:v>3.55</c:v>
                </c:pt>
              </c:numCache>
            </c:numRef>
          </c:yVal>
          <c:smooth val="0"/>
        </c:ser>
        <c:ser>
          <c:idx val="1"/>
          <c:order val="1"/>
          <c:tx>
            <c:strRef>
              <c:f>'KNXB Bus Coupler Drop'!$C$1</c:f>
              <c:strCache>
                <c:ptCount val="1"/>
                <c:pt idx="0">
                  <c:v>NCN5121/NCN5130 worst case</c:v>
                </c:pt>
              </c:strCache>
            </c:strRef>
          </c:tx>
          <c:xVal>
            <c:numRef>
              <c:f>'KNXB Bus Coupler Drop'!$A$2:$A$9</c:f>
              <c:numCache>
                <c:formatCode>General</c:formatCode>
                <c:ptCount val="8"/>
                <c:pt idx="0">
                  <c:v>5</c:v>
                </c:pt>
                <c:pt idx="1">
                  <c:v>10</c:v>
                </c:pt>
                <c:pt idx="2">
                  <c:v>15</c:v>
                </c:pt>
                <c:pt idx="3">
                  <c:v>20</c:v>
                </c:pt>
                <c:pt idx="4">
                  <c:v>25</c:v>
                </c:pt>
                <c:pt idx="5">
                  <c:v>30</c:v>
                </c:pt>
                <c:pt idx="6">
                  <c:v>35</c:v>
                </c:pt>
                <c:pt idx="7">
                  <c:v>40</c:v>
                </c:pt>
              </c:numCache>
            </c:numRef>
          </c:xVal>
          <c:yVal>
            <c:numRef>
              <c:f>'KNXB Bus Coupler Drop'!$C$2:$C$9</c:f>
              <c:numCache>
                <c:formatCode>General</c:formatCode>
                <c:ptCount val="8"/>
                <c:pt idx="0">
                  <c:v>1.92</c:v>
                </c:pt>
                <c:pt idx="1">
                  <c:v>2.2050000000000001</c:v>
                </c:pt>
                <c:pt idx="2">
                  <c:v>2.4900000000000002</c:v>
                </c:pt>
                <c:pt idx="3">
                  <c:v>2.7749999999999999</c:v>
                </c:pt>
                <c:pt idx="4">
                  <c:v>3.089</c:v>
                </c:pt>
                <c:pt idx="5">
                  <c:v>3.4020000000000001</c:v>
                </c:pt>
                <c:pt idx="6">
                  <c:v>3.7229999999999999</c:v>
                </c:pt>
                <c:pt idx="7">
                  <c:v>4.0439999999999996</c:v>
                </c:pt>
              </c:numCache>
            </c:numRef>
          </c:yVal>
          <c:smooth val="0"/>
        </c:ser>
        <c:dLbls>
          <c:showLegendKey val="0"/>
          <c:showVal val="0"/>
          <c:showCatName val="0"/>
          <c:showSerName val="0"/>
          <c:showPercent val="0"/>
          <c:showBubbleSize val="0"/>
        </c:dLbls>
        <c:axId val="163681592"/>
        <c:axId val="163681200"/>
      </c:scatterChart>
      <c:valAx>
        <c:axId val="163681592"/>
        <c:scaling>
          <c:orientation val="minMax"/>
        </c:scaling>
        <c:delete val="0"/>
        <c:axPos val="b"/>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Ibus (mA)</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63681200"/>
        <c:crosses val="autoZero"/>
        <c:crossBetween val="midCat"/>
      </c:valAx>
      <c:valAx>
        <c:axId val="163681200"/>
        <c:scaling>
          <c:orientation val="minMax"/>
        </c:scaling>
        <c:delete val="0"/>
        <c:axPos val="l"/>
        <c:majorGridlines>
          <c:spPr>
            <a:ln>
              <a:prstDash val="dash"/>
            </a:ln>
          </c:spPr>
        </c:majorGridlines>
        <c:title>
          <c:tx>
            <c:rich>
              <a:bodyPr/>
              <a:lstStyle/>
              <a:p>
                <a:pPr>
                  <a:defRPr sz="1000" b="1" i="0" u="none" strike="noStrike" baseline="0">
                    <a:solidFill>
                      <a:srgbClr val="000000"/>
                    </a:solidFill>
                    <a:latin typeface="Calibri"/>
                    <a:ea typeface="Calibri"/>
                    <a:cs typeface="Calibri"/>
                  </a:defRPr>
                </a:pPr>
                <a:r>
                  <a:rPr lang="en-US"/>
                  <a:t>Bus coupler drop (V)</a:t>
                </a:r>
              </a:p>
            </c:rich>
          </c:tx>
          <c:overlay val="0"/>
        </c:title>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63681592"/>
        <c:crosses val="autoZero"/>
        <c:crossBetween val="midCat"/>
      </c:valAx>
    </c:plotArea>
    <c:legend>
      <c:legendPos val="r"/>
      <c:layout>
        <c:manualLayout>
          <c:xMode val="edge"/>
          <c:yMode val="edge"/>
          <c:x val="0.12050314465408804"/>
          <c:y val="0.14129138462955287"/>
          <c:w val="0.23861540534817008"/>
          <c:h val="9.6668412001231746E-2"/>
        </c:manualLayout>
      </c:layout>
      <c:overlay val="0"/>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Radio" firstButton="1" fmlaLink="Component"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www.onsemi.com" TargetMode="External"/></Relationships>
</file>

<file path=xl/drawings/_rels/drawing2.xml.rels><?xml version="1.0" encoding="UTF-8" standalone="yes"?>
<Relationships xmlns="http://schemas.openxmlformats.org/package/2006/relationships"><Relationship Id="rId8" Type="http://schemas.openxmlformats.org/officeDocument/2006/relationships/image" Target="../media/image7.jpg"/><Relationship Id="rId13" Type="http://schemas.openxmlformats.org/officeDocument/2006/relationships/image" Target="../media/image12.jpg"/><Relationship Id="rId18" Type="http://schemas.openxmlformats.org/officeDocument/2006/relationships/image" Target="../media/image17.jpg"/><Relationship Id="rId26" Type="http://schemas.openxmlformats.org/officeDocument/2006/relationships/image" Target="../media/image25.jpg"/><Relationship Id="rId3" Type="http://schemas.openxmlformats.org/officeDocument/2006/relationships/hyperlink" Target="http://www.onsemi.com" TargetMode="External"/><Relationship Id="rId21" Type="http://schemas.openxmlformats.org/officeDocument/2006/relationships/image" Target="../media/image20.jpg"/><Relationship Id="rId34" Type="http://schemas.openxmlformats.org/officeDocument/2006/relationships/image" Target="../media/image33.jpg"/><Relationship Id="rId7" Type="http://schemas.openxmlformats.org/officeDocument/2006/relationships/image" Target="../media/image6.jpg"/><Relationship Id="rId12" Type="http://schemas.openxmlformats.org/officeDocument/2006/relationships/image" Target="../media/image11.jpg"/><Relationship Id="rId17" Type="http://schemas.openxmlformats.org/officeDocument/2006/relationships/image" Target="../media/image16.jpg"/><Relationship Id="rId25" Type="http://schemas.openxmlformats.org/officeDocument/2006/relationships/image" Target="../media/image24.jpg"/><Relationship Id="rId33" Type="http://schemas.openxmlformats.org/officeDocument/2006/relationships/image" Target="../media/image32.jpg"/><Relationship Id="rId2" Type="http://schemas.microsoft.com/office/2007/relationships/hdphoto" Target="../media/hdphoto1.wdp"/><Relationship Id="rId16" Type="http://schemas.openxmlformats.org/officeDocument/2006/relationships/image" Target="../media/image15.jpg"/><Relationship Id="rId20" Type="http://schemas.openxmlformats.org/officeDocument/2006/relationships/image" Target="../media/image19.jpg"/><Relationship Id="rId29" Type="http://schemas.openxmlformats.org/officeDocument/2006/relationships/image" Target="../media/image28.jpg"/><Relationship Id="rId1" Type="http://schemas.openxmlformats.org/officeDocument/2006/relationships/image" Target="../media/image2.png"/><Relationship Id="rId6" Type="http://schemas.openxmlformats.org/officeDocument/2006/relationships/image" Target="../media/image5.jpg"/><Relationship Id="rId11" Type="http://schemas.openxmlformats.org/officeDocument/2006/relationships/image" Target="../media/image10.jpg"/><Relationship Id="rId24" Type="http://schemas.openxmlformats.org/officeDocument/2006/relationships/image" Target="../media/image23.jpg"/><Relationship Id="rId32" Type="http://schemas.openxmlformats.org/officeDocument/2006/relationships/image" Target="../media/image31.jpg"/><Relationship Id="rId5" Type="http://schemas.openxmlformats.org/officeDocument/2006/relationships/image" Target="../media/image4.jpg"/><Relationship Id="rId15" Type="http://schemas.openxmlformats.org/officeDocument/2006/relationships/image" Target="../media/image14.jpg"/><Relationship Id="rId23" Type="http://schemas.openxmlformats.org/officeDocument/2006/relationships/image" Target="../media/image22.jpg"/><Relationship Id="rId28" Type="http://schemas.openxmlformats.org/officeDocument/2006/relationships/image" Target="../media/image27.jpg"/><Relationship Id="rId10" Type="http://schemas.openxmlformats.org/officeDocument/2006/relationships/image" Target="../media/image9.jpg"/><Relationship Id="rId19" Type="http://schemas.openxmlformats.org/officeDocument/2006/relationships/image" Target="../media/image18.jpg"/><Relationship Id="rId31" Type="http://schemas.openxmlformats.org/officeDocument/2006/relationships/image" Target="../media/image30.jpg"/><Relationship Id="rId4" Type="http://schemas.openxmlformats.org/officeDocument/2006/relationships/image" Target="../media/image3.png"/><Relationship Id="rId9" Type="http://schemas.openxmlformats.org/officeDocument/2006/relationships/image" Target="../media/image8.jpg"/><Relationship Id="rId14" Type="http://schemas.openxmlformats.org/officeDocument/2006/relationships/image" Target="../media/image13.jpg"/><Relationship Id="rId22" Type="http://schemas.openxmlformats.org/officeDocument/2006/relationships/image" Target="../media/image21.jpg"/><Relationship Id="rId27" Type="http://schemas.openxmlformats.org/officeDocument/2006/relationships/image" Target="../media/image26.jpg"/><Relationship Id="rId30" Type="http://schemas.openxmlformats.org/officeDocument/2006/relationships/image" Target="../media/image29.jpg"/><Relationship Id="rId35" Type="http://schemas.openxmlformats.org/officeDocument/2006/relationships/image" Target="../media/image34.jpg"/></Relationships>
</file>

<file path=xl/drawings/_rels/drawing3.xml.rels><?xml version="1.0" encoding="UTF-8" standalone="yes"?>
<Relationships xmlns="http://schemas.openxmlformats.org/package/2006/relationships"><Relationship Id="rId8" Type="http://schemas.openxmlformats.org/officeDocument/2006/relationships/image" Target="../media/image28.jpg"/><Relationship Id="rId13" Type="http://schemas.openxmlformats.org/officeDocument/2006/relationships/image" Target="../media/image33.jpg"/><Relationship Id="rId18" Type="http://schemas.openxmlformats.org/officeDocument/2006/relationships/image" Target="../media/image14.jpg"/><Relationship Id="rId26" Type="http://schemas.openxmlformats.org/officeDocument/2006/relationships/image" Target="../media/image21.jpg"/><Relationship Id="rId3" Type="http://schemas.openxmlformats.org/officeDocument/2006/relationships/image" Target="../media/image23.jpg"/><Relationship Id="rId21" Type="http://schemas.openxmlformats.org/officeDocument/2006/relationships/image" Target="../media/image17.jpg"/><Relationship Id="rId7" Type="http://schemas.openxmlformats.org/officeDocument/2006/relationships/image" Target="../media/image27.jpg"/><Relationship Id="rId12" Type="http://schemas.openxmlformats.org/officeDocument/2006/relationships/image" Target="../media/image32.jpg"/><Relationship Id="rId17" Type="http://schemas.openxmlformats.org/officeDocument/2006/relationships/image" Target="../media/image11.jpg"/><Relationship Id="rId25" Type="http://schemas.openxmlformats.org/officeDocument/2006/relationships/image" Target="../media/image20.jpg"/><Relationship Id="rId2" Type="http://schemas.openxmlformats.org/officeDocument/2006/relationships/image" Target="../media/image22.jpg"/><Relationship Id="rId16" Type="http://schemas.openxmlformats.org/officeDocument/2006/relationships/image" Target="../media/image10.jpg"/><Relationship Id="rId20" Type="http://schemas.openxmlformats.org/officeDocument/2006/relationships/image" Target="../media/image16.jpg"/><Relationship Id="rId1" Type="http://schemas.openxmlformats.org/officeDocument/2006/relationships/image" Target="../media/image6.jpg"/><Relationship Id="rId6" Type="http://schemas.openxmlformats.org/officeDocument/2006/relationships/image" Target="../media/image26.jpg"/><Relationship Id="rId11" Type="http://schemas.openxmlformats.org/officeDocument/2006/relationships/image" Target="../media/image31.jpg"/><Relationship Id="rId24" Type="http://schemas.openxmlformats.org/officeDocument/2006/relationships/image" Target="../media/image19.jpg"/><Relationship Id="rId5" Type="http://schemas.openxmlformats.org/officeDocument/2006/relationships/image" Target="../media/image25.jpg"/><Relationship Id="rId15" Type="http://schemas.openxmlformats.org/officeDocument/2006/relationships/image" Target="../media/image9.jpg"/><Relationship Id="rId23" Type="http://schemas.openxmlformats.org/officeDocument/2006/relationships/image" Target="../media/image7.jpg"/><Relationship Id="rId10" Type="http://schemas.openxmlformats.org/officeDocument/2006/relationships/image" Target="../media/image30.jpg"/><Relationship Id="rId19" Type="http://schemas.openxmlformats.org/officeDocument/2006/relationships/image" Target="../media/image15.jpg"/><Relationship Id="rId4" Type="http://schemas.openxmlformats.org/officeDocument/2006/relationships/image" Target="../media/image24.jpg"/><Relationship Id="rId9" Type="http://schemas.openxmlformats.org/officeDocument/2006/relationships/image" Target="../media/image29.jpg"/><Relationship Id="rId14" Type="http://schemas.openxmlformats.org/officeDocument/2006/relationships/image" Target="../media/image8.jpg"/><Relationship Id="rId22" Type="http://schemas.openxmlformats.org/officeDocument/2006/relationships/image" Target="../media/image18.jpg"/></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0</xdr:row>
      <xdr:rowOff>76200</xdr:rowOff>
    </xdr:from>
    <xdr:to>
      <xdr:col>2</xdr:col>
      <xdr:colOff>1257300</xdr:colOff>
      <xdr:row>0</xdr:row>
      <xdr:rowOff>1590675</xdr:rowOff>
    </xdr:to>
    <xdr:pic>
      <xdr:nvPicPr>
        <xdr:cNvPr id="2" name="Picture 1" descr="ONBall-3DShadow-Lg_Small.jpg">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285750" y="76200"/>
          <a:ext cx="1514475" cy="1514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180975</xdr:colOff>
      <xdr:row>30</xdr:row>
      <xdr:rowOff>104775</xdr:rowOff>
    </xdr:from>
    <xdr:to>
      <xdr:col>26</xdr:col>
      <xdr:colOff>561975</xdr:colOff>
      <xdr:row>47</xdr:row>
      <xdr:rowOff>18703</xdr:rowOff>
    </xdr:to>
    <xdr:pic>
      <xdr:nvPicPr>
        <xdr:cNvPr id="13" name="Picture 12"/>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BEBA8EAE-BF5A-486C-A8C5-ECC9F3942E4B}">
              <a14:imgProps xmlns:a14="http://schemas.microsoft.com/office/drawing/2010/main">
                <a14:imgLayer r:embed="rId2">
                  <a14:imgEffect>
                    <a14:backgroundRemoval t="0" b="100000" l="0" r="100000">
                      <a14:backgroundMark x1="8770" y1="4452" x2="8770" y2="30137"/>
                      <a14:backgroundMark x1="8896" y1="30137" x2="31798" y2="30822"/>
                      <a14:backgroundMark x1="31798" y1="30479" x2="31735" y2="3425"/>
                      <a14:backgroundMark x1="31735" y1="3082" x2="8644" y2="4110"/>
                      <a14:backgroundMark x1="77666" y1="31849" x2="77729" y2="50342"/>
                      <a14:backgroundMark x1="77792" y1="50685" x2="94448" y2="51370"/>
                      <a14:backgroundMark x1="94637" y1="51712" x2="94448" y2="30479"/>
                      <a14:backgroundMark x1="94511" y1="30479" x2="77729" y2="30137"/>
                    </a14:backgroundRemoval>
                  </a14:imgEffect>
                </a14:imgLayer>
              </a14:imgProps>
            </a:ext>
          </a:extLst>
        </a:blip>
        <a:stretch>
          <a:fillRect/>
        </a:stretch>
      </xdr:blipFill>
      <xdr:spPr>
        <a:xfrm>
          <a:off x="6591300" y="5295900"/>
          <a:ext cx="10401300" cy="2780953"/>
        </a:xfrm>
        <a:prstGeom prst="rect">
          <a:avLst/>
        </a:prstGeom>
      </xdr:spPr>
    </xdr:pic>
    <xdr:clientData/>
  </xdr:twoCellAnchor>
  <xdr:twoCellAnchor editAs="oneCell">
    <xdr:from>
      <xdr:col>0</xdr:col>
      <xdr:colOff>0</xdr:colOff>
      <xdr:row>0</xdr:row>
      <xdr:rowOff>0</xdr:rowOff>
    </xdr:from>
    <xdr:to>
      <xdr:col>1</xdr:col>
      <xdr:colOff>1298961</xdr:colOff>
      <xdr:row>8</xdr:row>
      <xdr:rowOff>155961</xdr:rowOff>
    </xdr:to>
    <xdr:pic>
      <xdr:nvPicPr>
        <xdr:cNvPr id="5" name="Picture 4">
          <a:hlinkClick xmlns:r="http://schemas.openxmlformats.org/officeDocument/2006/relationships" r:id="rId3"/>
        </xdr:cNvPr>
        <xdr:cNvPicPr>
          <a:picLocks noChangeAspect="1"/>
        </xdr:cNvPicPr>
      </xdr:nvPicPr>
      <xdr:blipFill>
        <a:blip xmlns:r="http://schemas.openxmlformats.org/officeDocument/2006/relationships" r:embed="rId4"/>
        <a:stretch>
          <a:fillRect/>
        </a:stretch>
      </xdr:blipFill>
      <xdr:spPr>
        <a:xfrm>
          <a:off x="0" y="0"/>
          <a:ext cx="1518036" cy="1518036"/>
        </a:xfrm>
        <a:prstGeom prst="rect">
          <a:avLst/>
        </a:prstGeom>
      </xdr:spPr>
    </xdr:pic>
    <xdr:clientData/>
  </xdr:twoCellAnchor>
  <xdr:twoCellAnchor editAs="oneCell">
    <xdr:from>
      <xdr:col>10</xdr:col>
      <xdr:colOff>0</xdr:colOff>
      <xdr:row>0</xdr:row>
      <xdr:rowOff>0</xdr:rowOff>
    </xdr:from>
    <xdr:to>
      <xdr:col>21</xdr:col>
      <xdr:colOff>238125</xdr:colOff>
      <xdr:row>34</xdr:row>
      <xdr:rowOff>19050</xdr:rowOff>
    </xdr:to>
    <xdr:pic>
      <xdr:nvPicPr>
        <xdr:cNvPr id="984072" name="Image2" hidden="1"/>
        <xdr:cNvPicPr>
          <a:picLocks noChangeAspect="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6638925" cy="5772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15</xdr:col>
      <xdr:colOff>190500</xdr:colOff>
      <xdr:row>21</xdr:row>
      <xdr:rowOff>66675</xdr:rowOff>
    </xdr:to>
    <xdr:pic>
      <xdr:nvPicPr>
        <xdr:cNvPr id="984179" name="C2_No" hidden="1"/>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2933700" cy="36004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15</xdr:col>
      <xdr:colOff>190500</xdr:colOff>
      <xdr:row>21</xdr:row>
      <xdr:rowOff>66675</xdr:rowOff>
    </xdr:to>
    <xdr:pic>
      <xdr:nvPicPr>
        <xdr:cNvPr id="984180" name="C2_Yes" hidden="1"/>
        <xdr:cNvPicPr>
          <a:picLocks noChangeAspect="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2933700" cy="36004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15</xdr:col>
      <xdr:colOff>190500</xdr:colOff>
      <xdr:row>21</xdr:row>
      <xdr:rowOff>66675</xdr:rowOff>
    </xdr:to>
    <xdr:pic>
      <xdr:nvPicPr>
        <xdr:cNvPr id="984193" name="C2_No" hidden="1"/>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2933700" cy="36004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15</xdr:col>
      <xdr:colOff>190500</xdr:colOff>
      <xdr:row>21</xdr:row>
      <xdr:rowOff>66675</xdr:rowOff>
    </xdr:to>
    <xdr:pic>
      <xdr:nvPicPr>
        <xdr:cNvPr id="984194" name="C2_Yes" hidden="1"/>
        <xdr:cNvPicPr>
          <a:picLocks noChangeAspect="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2933700" cy="36004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15</xdr:col>
      <xdr:colOff>190500</xdr:colOff>
      <xdr:row>21</xdr:row>
      <xdr:rowOff>66675</xdr:rowOff>
    </xdr:to>
    <xdr:pic>
      <xdr:nvPicPr>
        <xdr:cNvPr id="984207" name="C2_No" hidden="1"/>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2933700" cy="36004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15</xdr:col>
      <xdr:colOff>190500</xdr:colOff>
      <xdr:row>21</xdr:row>
      <xdr:rowOff>66675</xdr:rowOff>
    </xdr:to>
    <xdr:pic>
      <xdr:nvPicPr>
        <xdr:cNvPr id="984208" name="C2_Yes" hidden="1"/>
        <xdr:cNvPicPr>
          <a:picLocks noChangeAspect="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2933700" cy="36004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mc:AlternateContent xmlns:mc="http://schemas.openxmlformats.org/markup-compatibility/2006">
    <mc:Choice xmlns:a14="http://schemas.microsoft.com/office/drawing/2010/main" Requires="a14">
      <xdr:twoCellAnchor>
        <xdr:from>
          <xdr:col>21</xdr:col>
          <xdr:colOff>83820</xdr:colOff>
          <xdr:row>25</xdr:row>
          <xdr:rowOff>68580</xdr:rowOff>
        </xdr:from>
        <xdr:to>
          <xdr:col>24</xdr:col>
          <xdr:colOff>0</xdr:colOff>
          <xdr:row>28</xdr:row>
          <xdr:rowOff>7620</xdr:rowOff>
        </xdr:to>
        <xdr:sp macro="" textlink="">
          <xdr:nvSpPr>
            <xdr:cNvPr id="984108" name="Button 44" hidden="1">
              <a:extLst>
                <a:ext uri="{63B3BB69-23CF-44E3-9099-C40C66FF867C}">
                  <a14:compatExt spid="_x0000_s98410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Print BoM &amp; Schematics</a:t>
              </a:r>
            </a:p>
          </xdr:txBody>
        </xdr:sp>
        <xdr:clientData fPrintsWithSheet="0"/>
      </xdr:twoCellAnchor>
    </mc:Choice>
    <mc:Fallback/>
  </mc:AlternateContent>
  <xdr:twoCellAnchor>
    <xdr:from>
      <xdr:col>21</xdr:col>
      <xdr:colOff>409575</xdr:colOff>
      <xdr:row>40</xdr:row>
      <xdr:rowOff>104775</xdr:rowOff>
    </xdr:from>
    <xdr:to>
      <xdr:col>22</xdr:col>
      <xdr:colOff>285750</xdr:colOff>
      <xdr:row>42</xdr:row>
      <xdr:rowOff>57150</xdr:rowOff>
    </xdr:to>
    <xdr:cxnSp macro="">
      <xdr:nvCxnSpPr>
        <xdr:cNvPr id="6" name="Straight Arrow Connector 5"/>
        <xdr:cNvCxnSpPr/>
      </xdr:nvCxnSpPr>
      <xdr:spPr>
        <a:xfrm flipH="1" flipV="1">
          <a:off x="14439900" y="7019925"/>
          <a:ext cx="485775" cy="276225"/>
        </a:xfrm>
        <a:prstGeom prst="straightConnector1">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xdr:col>
          <xdr:colOff>7620</xdr:colOff>
          <xdr:row>3</xdr:row>
          <xdr:rowOff>121920</xdr:rowOff>
        </xdr:from>
        <xdr:to>
          <xdr:col>3</xdr:col>
          <xdr:colOff>601980</xdr:colOff>
          <xdr:row>8</xdr:row>
          <xdr:rowOff>152400</xdr:rowOff>
        </xdr:to>
        <xdr:sp macro="" textlink="">
          <xdr:nvSpPr>
            <xdr:cNvPr id="984117" name="Group Box 53" hidden="1">
              <a:extLst>
                <a:ext uri="{63B3BB69-23CF-44E3-9099-C40C66FF867C}">
                  <a14:compatExt spid="_x0000_s9841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en-US" sz="800" b="0" i="0" u="none" strike="noStrike" baseline="0">
                  <a:solidFill>
                    <a:srgbClr val="000000"/>
                  </a:solidFill>
                  <a:latin typeface="Tahoma"/>
                  <a:ea typeface="Tahoma"/>
                  <a:cs typeface="Tahoma"/>
                </a:rPr>
                <a:t>Component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5</xdr:row>
          <xdr:rowOff>137160</xdr:rowOff>
        </xdr:from>
        <xdr:to>
          <xdr:col>3</xdr:col>
          <xdr:colOff>495300</xdr:colOff>
          <xdr:row>7</xdr:row>
          <xdr:rowOff>22860</xdr:rowOff>
        </xdr:to>
        <xdr:sp macro="" textlink="">
          <xdr:nvSpPr>
            <xdr:cNvPr id="984119" name="Option Button 55" hidden="1">
              <a:extLst>
                <a:ext uri="{63B3BB69-23CF-44E3-9099-C40C66FF867C}">
                  <a14:compatExt spid="_x0000_s98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NCN5121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7</xdr:row>
          <xdr:rowOff>38100</xdr:rowOff>
        </xdr:from>
        <xdr:to>
          <xdr:col>3</xdr:col>
          <xdr:colOff>487680</xdr:colOff>
          <xdr:row>8</xdr:row>
          <xdr:rowOff>91440</xdr:rowOff>
        </xdr:to>
        <xdr:sp macro="" textlink="">
          <xdr:nvSpPr>
            <xdr:cNvPr id="984120" name="Option Button 56" hidden="1">
              <a:extLst>
                <a:ext uri="{63B3BB69-23CF-44E3-9099-C40C66FF867C}">
                  <a14:compatExt spid="_x0000_s984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NCN5130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xdr:row>
          <xdr:rowOff>76200</xdr:rowOff>
        </xdr:from>
        <xdr:to>
          <xdr:col>3</xdr:col>
          <xdr:colOff>502920</xdr:colOff>
          <xdr:row>5</xdr:row>
          <xdr:rowOff>121920</xdr:rowOff>
        </xdr:to>
        <xdr:sp macro="" textlink="">
          <xdr:nvSpPr>
            <xdr:cNvPr id="984121" name="Option Button 57" descr="NCN5110" hidden="1">
              <a:extLst>
                <a:ext uri="{63B3BB69-23CF-44E3-9099-C40C66FF867C}">
                  <a14:compatExt spid="_x0000_s984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800" b="0" i="0" u="none" strike="noStrike" baseline="0">
                  <a:solidFill>
                    <a:srgbClr val="000000"/>
                  </a:solidFill>
                  <a:latin typeface="Tahoma"/>
                  <a:ea typeface="Tahoma"/>
                  <a:cs typeface="Tahoma"/>
                </a:rPr>
                <a:t>NCN5110</a:t>
              </a:r>
            </a:p>
          </xdr:txBody>
        </xdr:sp>
        <xdr:clientData/>
      </xdr:twoCellAnchor>
    </mc:Choice>
    <mc:Fallback/>
  </mc:AlternateContent>
  <xdr:twoCellAnchor editAs="oneCell">
    <xdr:from>
      <xdr:col>10</xdr:col>
      <xdr:colOff>0</xdr:colOff>
      <xdr:row>0</xdr:row>
      <xdr:rowOff>0</xdr:rowOff>
    </xdr:from>
    <xdr:to>
      <xdr:col>18</xdr:col>
      <xdr:colOff>361950</xdr:colOff>
      <xdr:row>22</xdr:row>
      <xdr:rowOff>152400</xdr:rowOff>
    </xdr:to>
    <xdr:pic>
      <xdr:nvPicPr>
        <xdr:cNvPr id="984953" name="Name_5120" hidden="1"/>
        <xdr:cNvPicPr>
          <a:picLocks noChangeAspect="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4933950"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361950</xdr:colOff>
      <xdr:row>22</xdr:row>
      <xdr:rowOff>152400</xdr:rowOff>
    </xdr:to>
    <xdr:pic>
      <xdr:nvPicPr>
        <xdr:cNvPr id="984064" name="Name_5120" hidden="1"/>
        <xdr:cNvPicPr>
          <a:picLocks noChangeAspect="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629525" y="0"/>
          <a:ext cx="4933950"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4822"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823" name="Ana_V20V_Yes" hidden="1"/>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4824"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825"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4850"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851" name="Ana_V20V_Yes" hidden="1"/>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4852"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853"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4937"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938" name="Ana_V20V_Yes" hidden="1"/>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4939"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940"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4080"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081" name="Ana_V20V_Yes" hidden="1"/>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4082"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084"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4969"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390525</xdr:colOff>
      <xdr:row>19</xdr:row>
      <xdr:rowOff>1905</xdr:rowOff>
    </xdr:to>
    <xdr:pic>
      <xdr:nvPicPr>
        <xdr:cNvPr id="984970" name="Ana_V20V_Yes" hidden="1"/>
        <xdr:cNvPicPr>
          <a:picLocks noChangeAspect="1"/>
        </xdr:cNvPicPr>
      </xdr:nvPicPr>
      <xdr:blipFill>
        <a:blip xmlns:r="http://schemas.openxmlformats.org/officeDocument/2006/relationships" r:embed="rId1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768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4971"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976"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4105"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390525</xdr:colOff>
      <xdr:row>19</xdr:row>
      <xdr:rowOff>1905</xdr:rowOff>
    </xdr:to>
    <xdr:pic>
      <xdr:nvPicPr>
        <xdr:cNvPr id="984106" name="Ana_V20V_Yes" hidden="1"/>
        <xdr:cNvPicPr>
          <a:picLocks noChangeAspect="1"/>
        </xdr:cNvPicPr>
      </xdr:nvPicPr>
      <xdr:blipFill>
        <a:blip xmlns:r="http://schemas.openxmlformats.org/officeDocument/2006/relationships" r:embed="rId1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768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4107"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109"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5006"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17</xdr:col>
      <xdr:colOff>386715</xdr:colOff>
      <xdr:row>19</xdr:row>
      <xdr:rowOff>1905</xdr:rowOff>
    </xdr:to>
    <xdr:pic>
      <xdr:nvPicPr>
        <xdr:cNvPr id="985007" name="Ana_V20V_Yes" hidden="1"/>
        <xdr:cNvPicPr>
          <a:picLocks noChangeAspect="1"/>
        </xdr:cNvPicPr>
      </xdr:nvPicPr>
      <xdr:blipFill>
        <a:blip xmlns:r="http://schemas.openxmlformats.org/officeDocument/2006/relationships" r:embed="rId1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444817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5008"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5009"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4165"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17</xdr:col>
      <xdr:colOff>386715</xdr:colOff>
      <xdr:row>19</xdr:row>
      <xdr:rowOff>1905</xdr:rowOff>
    </xdr:to>
    <xdr:pic>
      <xdr:nvPicPr>
        <xdr:cNvPr id="984166" name="Ana_V20V_Yes" hidden="1"/>
        <xdr:cNvPicPr>
          <a:picLocks noChangeAspect="1"/>
        </xdr:cNvPicPr>
      </xdr:nvPicPr>
      <xdr:blipFill>
        <a:blip xmlns:r="http://schemas.openxmlformats.org/officeDocument/2006/relationships" r:embed="rId1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444817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4167"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4168"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21</xdr:col>
      <xdr:colOff>78105</xdr:colOff>
      <xdr:row>29</xdr:row>
      <xdr:rowOff>169545</xdr:rowOff>
    </xdr:to>
    <xdr:pic>
      <xdr:nvPicPr>
        <xdr:cNvPr id="984909" name="Base_NCN51xx"/>
        <xdr:cNvPicPr>
          <a:picLocks noChangeAspect="1"/>
        </xdr:cNvPicPr>
      </xdr:nvPicPr>
      <xdr:blipFill>
        <a:blip xmlns:r="http://schemas.openxmlformats.org/officeDocument/2006/relationships" r:embed="rId1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6638925" cy="51530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17</xdr:col>
      <xdr:colOff>491490</xdr:colOff>
      <xdr:row>26</xdr:row>
      <xdr:rowOff>146685</xdr:rowOff>
    </xdr:to>
    <xdr:pic>
      <xdr:nvPicPr>
        <xdr:cNvPr id="984910" name="DC2_No"/>
        <xdr:cNvPicPr>
          <a:picLocks noChangeAspect="1"/>
        </xdr:cNvPicPr>
      </xdr:nvPicPr>
      <xdr:blipFill>
        <a:blip xmlns:r="http://schemas.openxmlformats.org/officeDocument/2006/relationships" r:embed="rId1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4552950" cy="46196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38100</xdr:colOff>
      <xdr:row>33</xdr:row>
      <xdr:rowOff>34290</xdr:rowOff>
    </xdr:to>
    <xdr:pic>
      <xdr:nvPicPr>
        <xdr:cNvPr id="984911" name="DC2_Yes" hidden="1"/>
        <xdr:cNvPicPr>
          <a:picLocks noChangeAspect="1"/>
        </xdr:cNvPicPr>
      </xdr:nvPicPr>
      <xdr:blipFill>
        <a:blip xmlns:r="http://schemas.openxmlformats.org/officeDocument/2006/relationships" r:embed="rId1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4724400" cy="5772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15</xdr:col>
      <xdr:colOff>512445</xdr:colOff>
      <xdr:row>11</xdr:row>
      <xdr:rowOff>131445</xdr:rowOff>
    </xdr:to>
    <xdr:pic>
      <xdr:nvPicPr>
        <xdr:cNvPr id="984912" name="Fanin_Low" hidden="1"/>
        <xdr:cNvPicPr>
          <a:picLocks noChangeAspect="1"/>
        </xdr:cNvPicPr>
      </xdr:nvPicPr>
      <xdr:blipFill>
        <a:blip xmlns:r="http://schemas.openxmlformats.org/officeDocument/2006/relationships" r:embed="rId18">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3324225" cy="20288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15</xdr:col>
      <xdr:colOff>512445</xdr:colOff>
      <xdr:row>11</xdr:row>
      <xdr:rowOff>131445</xdr:rowOff>
    </xdr:to>
    <xdr:pic>
      <xdr:nvPicPr>
        <xdr:cNvPr id="984913" name="Fanin_R6"/>
        <xdr:cNvPicPr>
          <a:picLocks noChangeAspect="1"/>
        </xdr:cNvPicPr>
      </xdr:nvPicPr>
      <xdr:blipFill>
        <a:blip xmlns:r="http://schemas.openxmlformats.org/officeDocument/2006/relationships" r:embed="rId1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3324225" cy="20288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247650</xdr:colOff>
      <xdr:row>22</xdr:row>
      <xdr:rowOff>53340</xdr:rowOff>
    </xdr:to>
    <xdr:pic>
      <xdr:nvPicPr>
        <xdr:cNvPr id="984914" name="Name_5121" hidden="1"/>
        <xdr:cNvPicPr>
          <a:picLocks noChangeAspect="1"/>
        </xdr:cNvPicPr>
      </xdr:nvPicPr>
      <xdr:blipFill>
        <a:blip xmlns:r="http://schemas.openxmlformats.org/officeDocument/2006/relationships" r:embed="rId2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4933950"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247650</xdr:colOff>
      <xdr:row>22</xdr:row>
      <xdr:rowOff>53340</xdr:rowOff>
    </xdr:to>
    <xdr:pic>
      <xdr:nvPicPr>
        <xdr:cNvPr id="984919" name="Name_5130"/>
        <xdr:cNvPicPr>
          <a:picLocks noChangeAspect="1"/>
        </xdr:cNvPicPr>
      </xdr:nvPicPr>
      <xdr:blipFill>
        <a:blip xmlns:r="http://schemas.openxmlformats.org/officeDocument/2006/relationships" r:embed="rId2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4933950"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238125</xdr:colOff>
      <xdr:row>22</xdr:row>
      <xdr:rowOff>53340</xdr:rowOff>
    </xdr:to>
    <xdr:pic>
      <xdr:nvPicPr>
        <xdr:cNvPr id="984920" name="Name_5110" hidden="1"/>
        <xdr:cNvPicPr>
          <a:picLocks noChangeAspect="1"/>
        </xdr:cNvPicPr>
      </xdr:nvPicPr>
      <xdr:blipFill>
        <a:blip xmlns:r="http://schemas.openxmlformats.org/officeDocument/2006/relationships" r:embed="rId2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4924425"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14</xdr:col>
      <xdr:colOff>346710</xdr:colOff>
      <xdr:row>22</xdr:row>
      <xdr:rowOff>62865</xdr:rowOff>
    </xdr:to>
    <xdr:pic>
      <xdr:nvPicPr>
        <xdr:cNvPr id="984921" name="V20V_No"/>
        <xdr:cNvPicPr>
          <a:picLocks noChangeAspect="1"/>
        </xdr:cNvPicPr>
      </xdr:nvPicPr>
      <xdr:blipFill>
        <a:blip xmlns:r="http://schemas.openxmlformats.org/officeDocument/2006/relationships" r:embed="rId2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2533650" cy="38576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14</xdr:col>
      <xdr:colOff>346710</xdr:colOff>
      <xdr:row>25</xdr:row>
      <xdr:rowOff>36195</xdr:rowOff>
    </xdr:to>
    <xdr:pic>
      <xdr:nvPicPr>
        <xdr:cNvPr id="984922" name="V20V_Yes" hidden="1"/>
        <xdr:cNvPicPr>
          <a:picLocks noChangeAspect="1"/>
        </xdr:cNvPicPr>
      </xdr:nvPicPr>
      <xdr:blipFill>
        <a:blip xmlns:r="http://schemas.openxmlformats.org/officeDocument/2006/relationships" r:embed="rId2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2533650" cy="433387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22</xdr:col>
      <xdr:colOff>24765</xdr:colOff>
      <xdr:row>11</xdr:row>
      <xdr:rowOff>160020</xdr:rowOff>
    </xdr:to>
    <xdr:pic>
      <xdr:nvPicPr>
        <xdr:cNvPr id="984923" name="Xtal_No"/>
        <xdr:cNvPicPr>
          <a:picLocks noChangeAspect="1"/>
        </xdr:cNvPicPr>
      </xdr:nvPicPr>
      <xdr:blipFill>
        <a:blip xmlns:r="http://schemas.openxmlformats.org/officeDocument/2006/relationships" r:embed="rId2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7210425" cy="20574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17</xdr:col>
      <xdr:colOff>310515</xdr:colOff>
      <xdr:row>11</xdr:row>
      <xdr:rowOff>131445</xdr:rowOff>
    </xdr:to>
    <xdr:pic>
      <xdr:nvPicPr>
        <xdr:cNvPr id="984924" name="Xtal_Yes" hidden="1"/>
        <xdr:cNvPicPr>
          <a:picLocks noChangeAspect="1"/>
        </xdr:cNvPicPr>
      </xdr:nvPicPr>
      <xdr:blipFill>
        <a:blip xmlns:r="http://schemas.openxmlformats.org/officeDocument/2006/relationships" r:embed="rId2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4371975" cy="20288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21</xdr:col>
      <xdr:colOff>78105</xdr:colOff>
      <xdr:row>23</xdr:row>
      <xdr:rowOff>85725</xdr:rowOff>
    </xdr:to>
    <xdr:pic>
      <xdr:nvPicPr>
        <xdr:cNvPr id="984925" name="uCIf1"/>
        <xdr:cNvPicPr>
          <a:picLocks noChangeAspect="1"/>
        </xdr:cNvPicPr>
      </xdr:nvPicPr>
      <xdr:blipFill>
        <a:blip xmlns:r="http://schemas.openxmlformats.org/officeDocument/2006/relationships" r:embed="rId2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21</xdr:col>
      <xdr:colOff>78105</xdr:colOff>
      <xdr:row>23</xdr:row>
      <xdr:rowOff>85725</xdr:rowOff>
    </xdr:to>
    <xdr:pic>
      <xdr:nvPicPr>
        <xdr:cNvPr id="984926" name="uCIf2" hidden="1"/>
        <xdr:cNvPicPr>
          <a:picLocks noChangeAspect="1"/>
        </xdr:cNvPicPr>
      </xdr:nvPicPr>
      <xdr:blipFill>
        <a:blip xmlns:r="http://schemas.openxmlformats.org/officeDocument/2006/relationships" r:embed="rId28">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21</xdr:col>
      <xdr:colOff>78105</xdr:colOff>
      <xdr:row>23</xdr:row>
      <xdr:rowOff>85725</xdr:rowOff>
    </xdr:to>
    <xdr:pic>
      <xdr:nvPicPr>
        <xdr:cNvPr id="984927" name="uCIf3" hidden="1"/>
        <xdr:cNvPicPr>
          <a:picLocks noChangeAspect="1"/>
        </xdr:cNvPicPr>
      </xdr:nvPicPr>
      <xdr:blipFill>
        <a:blip xmlns:r="http://schemas.openxmlformats.org/officeDocument/2006/relationships" r:embed="rId2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21</xdr:col>
      <xdr:colOff>78105</xdr:colOff>
      <xdr:row>23</xdr:row>
      <xdr:rowOff>85725</xdr:rowOff>
    </xdr:to>
    <xdr:pic>
      <xdr:nvPicPr>
        <xdr:cNvPr id="985024" name="uCIf4" hidden="1"/>
        <xdr:cNvPicPr>
          <a:picLocks noChangeAspect="1"/>
        </xdr:cNvPicPr>
      </xdr:nvPicPr>
      <xdr:blipFill>
        <a:blip xmlns:r="http://schemas.openxmlformats.org/officeDocument/2006/relationships" r:embed="rId3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21</xdr:col>
      <xdr:colOff>78105</xdr:colOff>
      <xdr:row>24</xdr:row>
      <xdr:rowOff>41910</xdr:rowOff>
    </xdr:to>
    <xdr:pic>
      <xdr:nvPicPr>
        <xdr:cNvPr id="985025" name="uCIf5" hidden="1"/>
        <xdr:cNvPicPr>
          <a:picLocks noChangeAspect="1"/>
        </xdr:cNvPicPr>
      </xdr:nvPicPr>
      <xdr:blipFill>
        <a:blip xmlns:r="http://schemas.openxmlformats.org/officeDocument/2006/relationships" r:embed="rId3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6638925" cy="41719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21</xdr:col>
      <xdr:colOff>78105</xdr:colOff>
      <xdr:row>23</xdr:row>
      <xdr:rowOff>85725</xdr:rowOff>
    </xdr:to>
    <xdr:pic>
      <xdr:nvPicPr>
        <xdr:cNvPr id="985026" name="uCIf6" hidden="1"/>
        <xdr:cNvPicPr>
          <a:picLocks noChangeAspect="1"/>
        </xdr:cNvPicPr>
      </xdr:nvPicPr>
      <xdr:blipFill>
        <a:blip xmlns:r="http://schemas.openxmlformats.org/officeDocument/2006/relationships" r:embed="rId3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21</xdr:col>
      <xdr:colOff>78105</xdr:colOff>
      <xdr:row>23</xdr:row>
      <xdr:rowOff>85725</xdr:rowOff>
    </xdr:to>
    <xdr:pic>
      <xdr:nvPicPr>
        <xdr:cNvPr id="985027" name="uCIf7" hidden="1"/>
        <xdr:cNvPicPr>
          <a:picLocks noChangeAspect="1"/>
        </xdr:cNvPicPr>
      </xdr:nvPicPr>
      <xdr:blipFill>
        <a:blip xmlns:r="http://schemas.openxmlformats.org/officeDocument/2006/relationships" r:embed="rId3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22</xdr:col>
      <xdr:colOff>24765</xdr:colOff>
      <xdr:row>22</xdr:row>
      <xdr:rowOff>34290</xdr:rowOff>
    </xdr:to>
    <xdr:pic>
      <xdr:nvPicPr>
        <xdr:cNvPr id="985028" name="XClkC"/>
        <xdr:cNvPicPr>
          <a:picLocks noChangeAspect="1"/>
        </xdr:cNvPicPr>
      </xdr:nvPicPr>
      <xdr:blipFill>
        <a:blip xmlns:r="http://schemas.openxmlformats.org/officeDocument/2006/relationships" r:embed="rId3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7210425" cy="38290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17</xdr:row>
      <xdr:rowOff>163830</xdr:rowOff>
    </xdr:to>
    <xdr:pic>
      <xdr:nvPicPr>
        <xdr:cNvPr id="985029" name="Ana_V20V_No"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5030" name="Ana_V20V_Yes" hidden="1"/>
        <xdr:cNvPicPr>
          <a:picLocks noChangeAspect="1"/>
        </xdr:cNvPicPr>
      </xdr:nvPicPr>
      <xdr:blipFill>
        <a:blip xmlns:r="http://schemas.openxmlformats.org/officeDocument/2006/relationships" r:embed="rId3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18</xdr:col>
      <xdr:colOff>400050</xdr:colOff>
      <xdr:row>15</xdr:row>
      <xdr:rowOff>137160</xdr:rowOff>
    </xdr:to>
    <xdr:pic>
      <xdr:nvPicPr>
        <xdr:cNvPr id="985031" name="Ana_DC2_No"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10</xdr:col>
      <xdr:colOff>0</xdr:colOff>
      <xdr:row>0</xdr:row>
      <xdr:rowOff>0</xdr:rowOff>
    </xdr:from>
    <xdr:to>
      <xdr:col>19</xdr:col>
      <xdr:colOff>32385</xdr:colOff>
      <xdr:row>19</xdr:row>
      <xdr:rowOff>1905</xdr:rowOff>
    </xdr:to>
    <xdr:pic>
      <xdr:nvPicPr>
        <xdr:cNvPr id="985032" name="Ana_DC2_Yes"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784098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971550</xdr:colOff>
      <xdr:row>25</xdr:row>
      <xdr:rowOff>38100</xdr:rowOff>
    </xdr:to>
    <xdr:pic>
      <xdr:nvPicPr>
        <xdr:cNvPr id="46" name="C2_1" hidden="1"/>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2933700" cy="36004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14</xdr:col>
      <xdr:colOff>571500</xdr:colOff>
      <xdr:row>26</xdr:row>
      <xdr:rowOff>133350</xdr:rowOff>
    </xdr:to>
    <xdr:pic>
      <xdr:nvPicPr>
        <xdr:cNvPr id="217" name="V20V_No"/>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2533650" cy="38576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14</xdr:col>
      <xdr:colOff>571500</xdr:colOff>
      <xdr:row>29</xdr:row>
      <xdr:rowOff>123825</xdr:rowOff>
    </xdr:to>
    <xdr:pic>
      <xdr:nvPicPr>
        <xdr:cNvPr id="218" name="V20V_Yes" hidden="1"/>
        <xdr:cNvPicPr>
          <a:picLocks noChangeAspect="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2533650" cy="433387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21</xdr:col>
      <xdr:colOff>9525</xdr:colOff>
      <xdr:row>15</xdr:row>
      <xdr:rowOff>114300</xdr:rowOff>
    </xdr:to>
    <xdr:pic>
      <xdr:nvPicPr>
        <xdr:cNvPr id="219" name="Xtal_No"/>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7210425" cy="20574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17</xdr:col>
      <xdr:colOff>514350</xdr:colOff>
      <xdr:row>15</xdr:row>
      <xdr:rowOff>85725</xdr:rowOff>
    </xdr:to>
    <xdr:pic>
      <xdr:nvPicPr>
        <xdr:cNvPr id="220" name="Xtal_Yes" hidden="1"/>
        <xdr:cNvPicPr>
          <a:picLocks noChangeAspect="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4371975" cy="20288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21" name="uCIf1"/>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22" name="uCIf2" hidden="1"/>
        <xdr:cNvPicPr>
          <a:picLocks noChangeAspect="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23" name="uCIf3" hidden="1"/>
        <xdr:cNvPicPr>
          <a:picLocks noChangeAspect="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24" name="uCIf4"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123825</xdr:rowOff>
    </xdr:to>
    <xdr:pic>
      <xdr:nvPicPr>
        <xdr:cNvPr id="225" name="uCIf5" hidden="1"/>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1719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26" name="uCIf6"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27" name="uCIf7"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21</xdr:col>
      <xdr:colOff>9525</xdr:colOff>
      <xdr:row>26</xdr:row>
      <xdr:rowOff>104775</xdr:rowOff>
    </xdr:to>
    <xdr:pic>
      <xdr:nvPicPr>
        <xdr:cNvPr id="228" name="XClkC"/>
        <xdr:cNvPicPr>
          <a:picLocks noChangeAspect="1"/>
        </xdr:cNvPicPr>
      </xdr:nvPicPr>
      <xdr:blipFill>
        <a:blip xmlns:r="http://schemas.openxmlformats.org/officeDocument/2006/relationships" r:embed="rId1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7210425" cy="38290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485775</xdr:colOff>
      <xdr:row>22</xdr:row>
      <xdr:rowOff>28575</xdr:rowOff>
    </xdr:to>
    <xdr:pic>
      <xdr:nvPicPr>
        <xdr:cNvPr id="229" name="Ana_V20V_No" hidden="1"/>
        <xdr:cNvPicPr>
          <a:picLocks noChangeAspect="1"/>
        </xdr:cNvPicPr>
      </xdr:nvPicPr>
      <xdr:blipFill>
        <a:blip xmlns:r="http://schemas.openxmlformats.org/officeDocument/2006/relationships" r:embed="rId1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19</xdr:col>
      <xdr:colOff>190500</xdr:colOff>
      <xdr:row>23</xdr:row>
      <xdr:rowOff>47625</xdr:rowOff>
    </xdr:to>
    <xdr:pic>
      <xdr:nvPicPr>
        <xdr:cNvPr id="230" name="Ana_V20V_Yes" hidden="1"/>
        <xdr:cNvPicPr>
          <a:picLocks noChangeAspect="1"/>
        </xdr:cNvPicPr>
      </xdr:nvPicPr>
      <xdr:blipFill>
        <a:blip xmlns:r="http://schemas.openxmlformats.org/officeDocument/2006/relationships" r:embed="rId1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485775</xdr:colOff>
      <xdr:row>19</xdr:row>
      <xdr:rowOff>114300</xdr:rowOff>
    </xdr:to>
    <xdr:pic>
      <xdr:nvPicPr>
        <xdr:cNvPr id="231" name="Ana_DC2_No" hidden="1"/>
        <xdr:cNvPicPr>
          <a:picLocks noChangeAspect="1"/>
        </xdr:cNvPicPr>
      </xdr:nvPicPr>
      <xdr:blipFill>
        <a:blip xmlns:r="http://schemas.openxmlformats.org/officeDocument/2006/relationships" r:embed="rId1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19</xdr:col>
      <xdr:colOff>190500</xdr:colOff>
      <xdr:row>23</xdr:row>
      <xdr:rowOff>47625</xdr:rowOff>
    </xdr:to>
    <xdr:pic>
      <xdr:nvPicPr>
        <xdr:cNvPr id="232" name="Ana_DC2_Yes" hidden="1"/>
        <xdr:cNvPicPr>
          <a:picLocks noChangeAspect="1"/>
        </xdr:cNvPicPr>
      </xdr:nvPicPr>
      <xdr:blipFill>
        <a:blip xmlns:r="http://schemas.openxmlformats.org/officeDocument/2006/relationships" r:embed="rId1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34</xdr:row>
      <xdr:rowOff>133350</xdr:rowOff>
    </xdr:to>
    <xdr:pic>
      <xdr:nvPicPr>
        <xdr:cNvPr id="233" name="Base_NCN51xx"/>
        <xdr:cNvPicPr>
          <a:picLocks noChangeAspect="1"/>
        </xdr:cNvPicPr>
      </xdr:nvPicPr>
      <xdr:blipFill>
        <a:blip xmlns:r="http://schemas.openxmlformats.org/officeDocument/2006/relationships" r:embed="rId18">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51530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17</xdr:col>
      <xdr:colOff>695325</xdr:colOff>
      <xdr:row>31</xdr:row>
      <xdr:rowOff>85725</xdr:rowOff>
    </xdr:to>
    <xdr:pic>
      <xdr:nvPicPr>
        <xdr:cNvPr id="234" name="DC2_No"/>
        <xdr:cNvPicPr>
          <a:picLocks noChangeAspect="1"/>
        </xdr:cNvPicPr>
      </xdr:nvPicPr>
      <xdr:blipFill>
        <a:blip xmlns:r="http://schemas.openxmlformats.org/officeDocument/2006/relationships" r:embed="rId1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4552950" cy="46196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123825</xdr:colOff>
      <xdr:row>38</xdr:row>
      <xdr:rowOff>104775</xdr:rowOff>
    </xdr:to>
    <xdr:pic>
      <xdr:nvPicPr>
        <xdr:cNvPr id="235" name="DC2_Yes" hidden="1"/>
        <xdr:cNvPicPr>
          <a:picLocks noChangeAspect="1"/>
        </xdr:cNvPicPr>
      </xdr:nvPicPr>
      <xdr:blipFill>
        <a:blip xmlns:r="http://schemas.openxmlformats.org/officeDocument/2006/relationships" r:embed="rId2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4724400" cy="5772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14</xdr:col>
      <xdr:colOff>1362075</xdr:colOff>
      <xdr:row>15</xdr:row>
      <xdr:rowOff>85725</xdr:rowOff>
    </xdr:to>
    <xdr:pic>
      <xdr:nvPicPr>
        <xdr:cNvPr id="236" name="Fanin_Low" hidden="1"/>
        <xdr:cNvPicPr>
          <a:picLocks noChangeAspect="1"/>
        </xdr:cNvPicPr>
      </xdr:nvPicPr>
      <xdr:blipFill>
        <a:blip xmlns:r="http://schemas.openxmlformats.org/officeDocument/2006/relationships" r:embed="rId2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3324225" cy="20288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14</xdr:col>
      <xdr:colOff>1362075</xdr:colOff>
      <xdr:row>15</xdr:row>
      <xdr:rowOff>85725</xdr:rowOff>
    </xdr:to>
    <xdr:pic>
      <xdr:nvPicPr>
        <xdr:cNvPr id="237" name="Fanin_R6"/>
        <xdr:cNvPicPr>
          <a:picLocks noChangeAspect="1"/>
        </xdr:cNvPicPr>
      </xdr:nvPicPr>
      <xdr:blipFill>
        <a:blip xmlns:r="http://schemas.openxmlformats.org/officeDocument/2006/relationships" r:embed="rId2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3324225" cy="20288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333375</xdr:colOff>
      <xdr:row>26</xdr:row>
      <xdr:rowOff>123825</xdr:rowOff>
    </xdr:to>
    <xdr:pic>
      <xdr:nvPicPr>
        <xdr:cNvPr id="238" name="Name_5120"/>
        <xdr:cNvPicPr>
          <a:picLocks noChangeAspect="1"/>
        </xdr:cNvPicPr>
      </xdr:nvPicPr>
      <xdr:blipFill>
        <a:blip xmlns:r="http://schemas.openxmlformats.org/officeDocument/2006/relationships" r:embed="rId2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4933950"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333375</xdr:colOff>
      <xdr:row>26</xdr:row>
      <xdr:rowOff>123825</xdr:rowOff>
    </xdr:to>
    <xdr:pic>
      <xdr:nvPicPr>
        <xdr:cNvPr id="239" name="Name_5121" hidden="1"/>
        <xdr:cNvPicPr>
          <a:picLocks noChangeAspect="1"/>
        </xdr:cNvPicPr>
      </xdr:nvPicPr>
      <xdr:blipFill>
        <a:blip xmlns:r="http://schemas.openxmlformats.org/officeDocument/2006/relationships" r:embed="rId2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4933950"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333375</xdr:colOff>
      <xdr:row>26</xdr:row>
      <xdr:rowOff>123825</xdr:rowOff>
    </xdr:to>
    <xdr:pic>
      <xdr:nvPicPr>
        <xdr:cNvPr id="240" name="Name_5130"/>
        <xdr:cNvPicPr>
          <a:picLocks noChangeAspect="1"/>
        </xdr:cNvPicPr>
      </xdr:nvPicPr>
      <xdr:blipFill>
        <a:blip xmlns:r="http://schemas.openxmlformats.org/officeDocument/2006/relationships" r:embed="rId2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4933950"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323850</xdr:colOff>
      <xdr:row>26</xdr:row>
      <xdr:rowOff>123825</xdr:rowOff>
    </xdr:to>
    <xdr:pic>
      <xdr:nvPicPr>
        <xdr:cNvPr id="241" name="Name_5110" hidden="1"/>
        <xdr:cNvPicPr>
          <a:picLocks noChangeAspect="1"/>
        </xdr:cNvPicPr>
      </xdr:nvPicPr>
      <xdr:blipFill>
        <a:blip xmlns:r="http://schemas.openxmlformats.org/officeDocument/2006/relationships" r:embed="rId2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4924425" cy="3848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14</xdr:col>
      <xdr:colOff>571500</xdr:colOff>
      <xdr:row>26</xdr:row>
      <xdr:rowOff>133350</xdr:rowOff>
    </xdr:to>
    <xdr:pic>
      <xdr:nvPicPr>
        <xdr:cNvPr id="242" name="V20V_No" hidden="1"/>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2533650" cy="38576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14</xdr:col>
      <xdr:colOff>571500</xdr:colOff>
      <xdr:row>29</xdr:row>
      <xdr:rowOff>123825</xdr:rowOff>
    </xdr:to>
    <xdr:pic>
      <xdr:nvPicPr>
        <xdr:cNvPr id="243" name="V20V_Yes" hidden="1"/>
        <xdr:cNvPicPr>
          <a:picLocks noChangeAspect="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2533650" cy="433387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21</xdr:col>
      <xdr:colOff>9525</xdr:colOff>
      <xdr:row>15</xdr:row>
      <xdr:rowOff>114300</xdr:rowOff>
    </xdr:to>
    <xdr:pic>
      <xdr:nvPicPr>
        <xdr:cNvPr id="244" name="Xtal_No" hidden="1"/>
        <xdr:cNvPicPr>
          <a:picLocks noChangeAspect="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7210425" cy="20574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17</xdr:col>
      <xdr:colOff>514350</xdr:colOff>
      <xdr:row>15</xdr:row>
      <xdr:rowOff>85725</xdr:rowOff>
    </xdr:to>
    <xdr:pic>
      <xdr:nvPicPr>
        <xdr:cNvPr id="245" name="Xtal_Yes" hidden="1"/>
        <xdr:cNvPicPr>
          <a:picLocks noChangeAspect="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4371975" cy="20288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46" name="uCIf1" hidden="1"/>
        <xdr:cNvPicPr>
          <a:picLocks noChangeAspect="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47" name="uCIf2" hidden="1"/>
        <xdr:cNvPicPr>
          <a:picLocks noChangeAspect="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48" name="uCIf3" hidden="1"/>
        <xdr:cNvPicPr>
          <a:picLocks noChangeAspect="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49" name="uCIf4" hidden="1"/>
        <xdr:cNvPicPr>
          <a:picLocks noChangeAspect="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123825</xdr:rowOff>
    </xdr:to>
    <xdr:pic>
      <xdr:nvPicPr>
        <xdr:cNvPr id="250" name="uCIf5" hidden="1"/>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1719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51" name="uCIf6" hidden="1"/>
        <xdr:cNvPicPr>
          <a:picLocks noChangeAspect="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20</xdr:col>
      <xdr:colOff>1028700</xdr:colOff>
      <xdr:row>28</xdr:row>
      <xdr:rowOff>0</xdr:rowOff>
    </xdr:to>
    <xdr:pic>
      <xdr:nvPicPr>
        <xdr:cNvPr id="252" name="uCIf7" hidden="1"/>
        <xdr:cNvPicPr>
          <a:picLocks noChangeAspect="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6638925" cy="4048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21</xdr:col>
      <xdr:colOff>9525</xdr:colOff>
      <xdr:row>26</xdr:row>
      <xdr:rowOff>104775</xdr:rowOff>
    </xdr:to>
    <xdr:pic>
      <xdr:nvPicPr>
        <xdr:cNvPr id="253" name="XClkC" hidden="1"/>
        <xdr:cNvPicPr>
          <a:picLocks noChangeAspect="1"/>
        </xdr:cNvPicPr>
      </xdr:nvPicPr>
      <xdr:blipFill>
        <a:blip xmlns:r="http://schemas.openxmlformats.org/officeDocument/2006/relationships" r:embed="rId13">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7210425" cy="38290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485775</xdr:colOff>
      <xdr:row>22</xdr:row>
      <xdr:rowOff>28575</xdr:rowOff>
    </xdr:to>
    <xdr:pic>
      <xdr:nvPicPr>
        <xdr:cNvPr id="254" name="Ana_V20V_No" hidden="1"/>
        <xdr:cNvPicPr>
          <a:picLocks noChangeAspect="1"/>
        </xdr:cNvPicPr>
      </xdr:nvPicPr>
      <xdr:blipFill>
        <a:blip xmlns:r="http://schemas.openxmlformats.org/officeDocument/2006/relationships" r:embed="rId14">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5086350" cy="310515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19</xdr:col>
      <xdr:colOff>190500</xdr:colOff>
      <xdr:row>23</xdr:row>
      <xdr:rowOff>47625</xdr:rowOff>
    </xdr:to>
    <xdr:pic>
      <xdr:nvPicPr>
        <xdr:cNvPr id="255" name="Ana_V20V_Yes" hidden="1"/>
        <xdr:cNvPicPr>
          <a:picLocks noChangeAspect="1"/>
        </xdr:cNvPicPr>
      </xdr:nvPicPr>
      <xdr:blipFill>
        <a:blip xmlns:r="http://schemas.openxmlformats.org/officeDocument/2006/relationships" r:embed="rId15">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18</xdr:col>
      <xdr:colOff>485775</xdr:colOff>
      <xdr:row>19</xdr:row>
      <xdr:rowOff>114300</xdr:rowOff>
    </xdr:to>
    <xdr:pic>
      <xdr:nvPicPr>
        <xdr:cNvPr id="256" name="Ana_DC2_No" hidden="1"/>
        <xdr:cNvPicPr>
          <a:picLocks noChangeAspect="1"/>
        </xdr:cNvPicPr>
      </xdr:nvPicPr>
      <xdr:blipFill>
        <a:blip xmlns:r="http://schemas.openxmlformats.org/officeDocument/2006/relationships" r:embed="rId16">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5086350" cy="2705100"/>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twoCellAnchor editAs="oneCell">
    <xdr:from>
      <xdr:col>0</xdr:col>
      <xdr:colOff>0</xdr:colOff>
      <xdr:row>0</xdr:row>
      <xdr:rowOff>0</xdr:rowOff>
    </xdr:from>
    <xdr:to>
      <xdr:col>19</xdr:col>
      <xdr:colOff>190500</xdr:colOff>
      <xdr:row>23</xdr:row>
      <xdr:rowOff>47625</xdr:rowOff>
    </xdr:to>
    <xdr:pic>
      <xdr:nvPicPr>
        <xdr:cNvPr id="257" name="Ana_DC2_Yes" hidden="1"/>
        <xdr:cNvPicPr>
          <a:picLocks noChangeAspect="1"/>
        </xdr:cNvPicPr>
      </xdr:nvPicPr>
      <xdr:blipFill>
        <a:blip xmlns:r="http://schemas.openxmlformats.org/officeDocument/2006/relationships" r:embed="rId17">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5343525" cy="3286125"/>
        </a:xfrm>
        <a:prstGeom prst="rect">
          <a:avLst/>
        </a:prstGeom>
        <a:noFill/>
        <a:extLst>
          <a:ext uri="{909E8E84-426E-40DD-AFC4-6F175D3DCCD1}">
            <a14:hiddenFill xmlns:a14="http://schemas.microsoft.com/office/drawing/2010/main">
              <a:solidFill>
                <a:scrgbClr r="0" g="0" b="0">
                  <a:alpha val="0"/>
                </a:scrgbClr>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152400</xdr:colOff>
      <xdr:row>4</xdr:row>
      <xdr:rowOff>9525</xdr:rowOff>
    </xdr:from>
    <xdr:to>
      <xdr:col>19</xdr:col>
      <xdr:colOff>590550</xdr:colOff>
      <xdr:row>28</xdr:row>
      <xdr:rowOff>38100</xdr:rowOff>
    </xdr:to>
    <xdr:graphicFrame macro="">
      <xdr:nvGraphicFramePr>
        <xdr:cNvPr id="52759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95250</xdr:colOff>
      <xdr:row>4</xdr:row>
      <xdr:rowOff>9525</xdr:rowOff>
    </xdr:from>
    <xdr:to>
      <xdr:col>29</xdr:col>
      <xdr:colOff>533400</xdr:colOff>
      <xdr:row>28</xdr:row>
      <xdr:rowOff>38100</xdr:rowOff>
    </xdr:to>
    <xdr:graphicFrame macro="">
      <xdr:nvGraphicFramePr>
        <xdr:cNvPr id="527596"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161925</xdr:colOff>
      <xdr:row>29</xdr:row>
      <xdr:rowOff>28575</xdr:rowOff>
    </xdr:from>
    <xdr:to>
      <xdr:col>19</xdr:col>
      <xdr:colOff>600075</xdr:colOff>
      <xdr:row>53</xdr:row>
      <xdr:rowOff>76200</xdr:rowOff>
    </xdr:to>
    <xdr:graphicFrame macro="">
      <xdr:nvGraphicFramePr>
        <xdr:cNvPr id="52759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95250</xdr:colOff>
      <xdr:row>29</xdr:row>
      <xdr:rowOff>9525</xdr:rowOff>
    </xdr:from>
    <xdr:to>
      <xdr:col>29</xdr:col>
      <xdr:colOff>533400</xdr:colOff>
      <xdr:row>53</xdr:row>
      <xdr:rowOff>57150</xdr:rowOff>
    </xdr:to>
    <xdr:graphicFrame macro="">
      <xdr:nvGraphicFramePr>
        <xdr:cNvPr id="527598"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228600</xdr:colOff>
      <xdr:row>53</xdr:row>
      <xdr:rowOff>152400</xdr:rowOff>
    </xdr:from>
    <xdr:to>
      <xdr:col>20</xdr:col>
      <xdr:colOff>57150</xdr:colOff>
      <xdr:row>78</xdr:row>
      <xdr:rowOff>38100</xdr:rowOff>
    </xdr:to>
    <xdr:graphicFrame macro="">
      <xdr:nvGraphicFramePr>
        <xdr:cNvPr id="527599"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20</xdr:col>
      <xdr:colOff>47625</xdr:colOff>
      <xdr:row>54</xdr:row>
      <xdr:rowOff>0</xdr:rowOff>
    </xdr:from>
    <xdr:to>
      <xdr:col>29</xdr:col>
      <xdr:colOff>485775</xdr:colOff>
      <xdr:row>78</xdr:row>
      <xdr:rowOff>47625</xdr:rowOff>
    </xdr:to>
    <xdr:graphicFrame macro="">
      <xdr:nvGraphicFramePr>
        <xdr:cNvPr id="527600"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333375</xdr:colOff>
      <xdr:row>10</xdr:row>
      <xdr:rowOff>161925</xdr:rowOff>
    </xdr:from>
    <xdr:to>
      <xdr:col>6</xdr:col>
      <xdr:colOff>0</xdr:colOff>
      <xdr:row>40</xdr:row>
      <xdr:rowOff>66675</xdr:rowOff>
    </xdr:to>
    <xdr:graphicFrame macro="">
      <xdr:nvGraphicFramePr>
        <xdr:cNvPr id="602181"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295275</xdr:colOff>
      <xdr:row>12</xdr:row>
      <xdr:rowOff>38100</xdr:rowOff>
    </xdr:from>
    <xdr:to>
      <xdr:col>9</xdr:col>
      <xdr:colOff>123825</xdr:colOff>
      <xdr:row>39</xdr:row>
      <xdr:rowOff>9525</xdr:rowOff>
    </xdr:to>
    <xdr:graphicFrame macro="">
      <xdr:nvGraphicFramePr>
        <xdr:cNvPr id="61750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g7p8g/Documents/2.SVN/KNXB/doc/1_Application/hw/3_Develop/App_Notes/Efficiency_Calculator/NCN5120_Calculator_PUBLIC_V2.1.rev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ual"/>
      <sheetName val="Basic"/>
      <sheetName val="Input_Manual"/>
      <sheetName val="1"/>
      <sheetName val="2"/>
      <sheetName val="3"/>
      <sheetName val="4"/>
      <sheetName val="5"/>
      <sheetName val="6"/>
      <sheetName val="7"/>
      <sheetName val="8"/>
      <sheetName val="9"/>
      <sheetName val="10"/>
      <sheetName val="11"/>
      <sheetName val="12"/>
      <sheetName val="13"/>
      <sheetName val="14"/>
      <sheetName val="15"/>
      <sheetName val="16"/>
      <sheetName val="Calc"/>
      <sheetName val="Overall efficiency"/>
      <sheetName val="KNX Dissipation"/>
      <sheetName val="For spec"/>
      <sheetName val="Text"/>
      <sheetName val="R3Lim"/>
      <sheetName val="BOM"/>
      <sheetName val="R4R5"/>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ables/table1.xml><?xml version="1.0" encoding="utf-8"?>
<table xmlns="http://schemas.openxmlformats.org/spreadsheetml/2006/main" id="2" name="Table2" displayName="Table2" ref="A74:B81" totalsRowShown="0" headerRowDxfId="45">
  <autoFilter ref="A74:B81"/>
  <tableColumns count="2">
    <tableColumn id="1" name="IfType" dataDxfId="44"/>
    <tableColumn id="2" name="IfVal"/>
  </tableColumns>
  <tableStyleInfo name="TableStyleMedium9" showFirstColumn="0" showLastColumn="0" showRowStripes="1" showColumnStripes="0"/>
</table>
</file>

<file path=xl/tables/table2.xml><?xml version="1.0" encoding="utf-8"?>
<table xmlns="http://schemas.openxmlformats.org/spreadsheetml/2006/main" id="3" name="BoMTable" displayName="BoMTable" ref="N41:U63" totalsRowShown="0" headerRowDxfId="43">
  <autoFilter ref="N41:U63"/>
  <tableColumns count="8">
    <tableColumn id="1" name="Part" dataDxfId="42"/>
    <tableColumn id="2" name="Function" dataDxfId="41"/>
    <tableColumn id="3" name="NCN5110"/>
    <tableColumn id="4" name="NCN5121"/>
    <tableColumn id="5" name="NCN5130"/>
    <tableColumn id="6" name="Tolerance" dataDxfId="40"/>
    <tableColumn id="7" name="Unit" dataDxfId="39"/>
    <tableColumn id="8" name="Comments"/>
  </tableColumns>
  <tableStyleInfo name="TableStyleMedium9" showFirstColumn="0" showLastColumn="0" showRowStripes="1" showColumnStripes="0"/>
</table>
</file>

<file path=xl/tables/table3.xml><?xml version="1.0" encoding="utf-8"?>
<table xmlns="http://schemas.openxmlformats.org/spreadsheetml/2006/main" id="1" name="Fanin_Table" displayName="Fanin_Table" ref="B2:L191" totalsRowShown="0" headerRowDxfId="38">
  <autoFilter ref="B2:L191"/>
  <tableColumns count="11">
    <tableColumn id="1" name="FaninResistor"/>
    <tableColumn id="2" name="FaninValue" dataDxfId="37">
      <calculatedColumnFormula>39/B3</calculatedColumnFormula>
    </tableColumn>
    <tableColumn id="5" name="ILS2" dataDxfId="36"/>
    <tableColumn id="6" name="ILR2" dataDxfId="35"/>
    <tableColumn id="7" name="ILS3" dataDxfId="34">
      <calculatedColumnFormula>0.001 + (955/$B3)</calculatedColumnFormula>
    </tableColumn>
    <tableColumn id="8" name="ILR3" dataDxfId="33">
      <calculatedColumnFormula>0.0004+(428/$B3)</calculatedColumnFormula>
    </tableColumn>
    <tableColumn id="16" name="ILS4" dataDxfId="32"/>
    <tableColumn id="15" name="ILR4" dataDxfId="31"/>
    <tableColumn id="13" name="V20VS" dataDxfId="30">
      <calculatedColumnFormula>1.25</calculatedColumnFormula>
    </tableColumn>
    <tableColumn id="14" name="V20VL" dataDxfId="29"/>
    <tableColumn id="9" name="Islope" dataDxfId="28"/>
  </tableColumns>
  <tableStyleInfo name="TableStyleLight8" showFirstColumn="0" showLastColumn="0" showRowStripes="1" showColumnStripes="0"/>
</table>
</file>

<file path=xl/tables/table4.xml><?xml version="1.0" encoding="utf-8"?>
<table xmlns="http://schemas.openxmlformats.org/spreadsheetml/2006/main" id="5" name="ResistorSeriesTable" displayName="ResistorSeriesTable" ref="N2:O7" totalsRowShown="0" headerRowDxfId="27">
  <autoFilter ref="N2:O7"/>
  <tableColumns count="2">
    <tableColumn id="1" name="ResistorSeries" dataDxfId="26"/>
    <tableColumn id="2" name="Mantis"/>
  </tableColumns>
  <tableStyleInfo name="TableStyleMedium9" showFirstColumn="0" showLastColumn="0" showRowStripes="1" showColumnStripes="0"/>
</table>
</file>

<file path=xl/tables/table5.xml><?xml version="1.0" encoding="utf-8"?>
<table xmlns="http://schemas.openxmlformats.org/spreadsheetml/2006/main" id="6" name="IbusCorrectionFactor" displayName="IbusCorrectionFactor" ref="H89:I100" totalsRowShown="0" dataDxfId="23">
  <autoFilter ref="H89:I100"/>
  <tableColumns count="2">
    <tableColumn id="1" name="Bus Voltage" dataDxfId="22"/>
    <tableColumn id="3" name="Factor" dataDxfId="21"/>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D40"/>
  <sheetViews>
    <sheetView showGridLines="0" showRowColHeaders="0" zoomScaleNormal="100" workbookViewId="0">
      <selection activeCell="B11" sqref="B11"/>
    </sheetView>
  </sheetViews>
  <sheetFormatPr defaultColWidth="9.109375" defaultRowHeight="13.2" x14ac:dyDescent="0.25"/>
  <cols>
    <col min="1" max="1" width="3.88671875" style="70" customWidth="1"/>
    <col min="2" max="2" width="4.33203125" style="70" customWidth="1"/>
    <col min="3" max="3" width="20.109375" style="70" customWidth="1"/>
    <col min="4" max="16384" width="9.109375" style="70"/>
  </cols>
  <sheetData>
    <row r="1" spans="2:4" ht="127.5" customHeight="1" x14ac:dyDescent="0.25">
      <c r="D1" s="90" t="s">
        <v>373</v>
      </c>
    </row>
    <row r="3" spans="2:4" x14ac:dyDescent="0.25">
      <c r="B3" s="91" t="s">
        <v>447</v>
      </c>
    </row>
    <row r="4" spans="2:4" x14ac:dyDescent="0.25">
      <c r="B4" s="91" t="s">
        <v>374</v>
      </c>
    </row>
    <row r="6" spans="2:4" x14ac:dyDescent="0.25">
      <c r="B6" s="91" t="s">
        <v>448</v>
      </c>
    </row>
    <row r="7" spans="2:4" x14ac:dyDescent="0.25">
      <c r="B7" s="91" t="s">
        <v>449</v>
      </c>
    </row>
    <row r="8" spans="2:4" x14ac:dyDescent="0.25">
      <c r="B8" s="91" t="s">
        <v>354</v>
      </c>
    </row>
    <row r="9" spans="2:4" x14ac:dyDescent="0.25">
      <c r="B9" s="91" t="s">
        <v>450</v>
      </c>
    </row>
    <row r="10" spans="2:4" x14ac:dyDescent="0.25">
      <c r="B10" s="91" t="s">
        <v>355</v>
      </c>
    </row>
    <row r="11" spans="2:4" x14ac:dyDescent="0.25">
      <c r="B11" s="91" t="s">
        <v>356</v>
      </c>
    </row>
    <row r="13" spans="2:4" x14ac:dyDescent="0.25">
      <c r="B13" s="91"/>
    </row>
    <row r="18" spans="1:3" x14ac:dyDescent="0.25">
      <c r="B18" s="92" t="s">
        <v>357</v>
      </c>
    </row>
    <row r="19" spans="1:3" x14ac:dyDescent="0.25">
      <c r="A19" s="93"/>
      <c r="B19" s="93" t="s">
        <v>358</v>
      </c>
    </row>
    <row r="20" spans="1:3" x14ac:dyDescent="0.25">
      <c r="B20" s="93"/>
    </row>
    <row r="21" spans="1:3" x14ac:dyDescent="0.25">
      <c r="B21" s="93" t="s">
        <v>359</v>
      </c>
    </row>
    <row r="22" spans="1:3" s="93" customFormat="1" ht="10.199999999999999" x14ac:dyDescent="0.2">
      <c r="C22" s="93" t="s">
        <v>360</v>
      </c>
    </row>
    <row r="23" spans="1:3" s="93" customFormat="1" ht="10.199999999999999" x14ac:dyDescent="0.2"/>
    <row r="24" spans="1:3" s="93" customFormat="1" ht="10.199999999999999" x14ac:dyDescent="0.2">
      <c r="B24" s="93" t="s">
        <v>361</v>
      </c>
    </row>
    <row r="25" spans="1:3" s="93" customFormat="1" ht="10.199999999999999" x14ac:dyDescent="0.2">
      <c r="C25" s="93" t="s">
        <v>362</v>
      </c>
    </row>
    <row r="26" spans="1:3" s="93" customFormat="1" ht="10.199999999999999" x14ac:dyDescent="0.2"/>
    <row r="27" spans="1:3" s="93" customFormat="1" ht="10.199999999999999" x14ac:dyDescent="0.2">
      <c r="B27" s="93" t="s">
        <v>363</v>
      </c>
    </row>
    <row r="28" spans="1:3" s="93" customFormat="1" ht="10.199999999999999" x14ac:dyDescent="0.2">
      <c r="C28" s="93" t="s">
        <v>364</v>
      </c>
    </row>
    <row r="29" spans="1:3" s="93" customFormat="1" ht="10.199999999999999" x14ac:dyDescent="0.2"/>
    <row r="30" spans="1:3" s="93" customFormat="1" ht="10.199999999999999" x14ac:dyDescent="0.2">
      <c r="B30" s="93" t="s">
        <v>365</v>
      </c>
    </row>
    <row r="31" spans="1:3" s="93" customFormat="1" ht="10.199999999999999" x14ac:dyDescent="0.2">
      <c r="C31" s="93" t="s">
        <v>366</v>
      </c>
    </row>
    <row r="32" spans="1:3" s="93" customFormat="1" ht="10.199999999999999" x14ac:dyDescent="0.2">
      <c r="C32" s="93" t="s">
        <v>367</v>
      </c>
    </row>
    <row r="33" spans="2:3" s="93" customFormat="1" ht="10.199999999999999" x14ac:dyDescent="0.2"/>
    <row r="34" spans="2:3" s="93" customFormat="1" ht="10.199999999999999" x14ac:dyDescent="0.2">
      <c r="B34" s="93" t="s">
        <v>368</v>
      </c>
    </row>
    <row r="35" spans="2:3" s="93" customFormat="1" ht="10.199999999999999" x14ac:dyDescent="0.2">
      <c r="C35" s="93" t="s">
        <v>369</v>
      </c>
    </row>
    <row r="36" spans="2:3" s="93" customFormat="1" ht="10.199999999999999" x14ac:dyDescent="0.2">
      <c r="C36" s="93" t="s">
        <v>370</v>
      </c>
    </row>
    <row r="37" spans="2:3" s="93" customFormat="1" ht="10.199999999999999" x14ac:dyDescent="0.2">
      <c r="C37" s="93" t="s">
        <v>371</v>
      </c>
    </row>
    <row r="38" spans="2:3" s="93" customFormat="1" ht="10.199999999999999" x14ac:dyDescent="0.2">
      <c r="C38" s="93" t="s">
        <v>372</v>
      </c>
    </row>
    <row r="39" spans="2:3" s="93" customFormat="1" ht="10.199999999999999" x14ac:dyDescent="0.2"/>
    <row r="40" spans="2:3" s="93" customFormat="1" ht="10.199999999999999" x14ac:dyDescent="0.2"/>
  </sheetData>
  <sheetProtection sheet="1" objects="1" scenarios="1" selectLockedCells="1" selectUn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autoPageBreaks="0" fitToPage="1"/>
  </sheetPr>
  <dimension ref="A3:Y63"/>
  <sheetViews>
    <sheetView showGridLines="0" showRowColHeaders="0" tabSelected="1" topLeftCell="A13" zoomScaleNormal="100" workbookViewId="0">
      <selection activeCell="C53" sqref="C53"/>
    </sheetView>
  </sheetViews>
  <sheetFormatPr defaultColWidth="9.109375" defaultRowHeight="13.2" x14ac:dyDescent="0.25"/>
  <cols>
    <col min="1" max="1" width="3.33203125" style="105" bestFit="1" customWidth="1"/>
    <col min="2" max="2" width="27.88671875" style="105" bestFit="1" customWidth="1"/>
    <col min="3" max="6" width="9.109375" style="105"/>
    <col min="7" max="7" width="9.33203125" style="105" customWidth="1"/>
    <col min="8" max="8" width="19.109375" style="105" customWidth="1"/>
    <col min="9" max="10" width="9.109375" style="105"/>
    <col min="11" max="11" width="4.5546875" style="105" bestFit="1" customWidth="1"/>
    <col min="12" max="22" width="9.109375" style="105"/>
    <col min="23" max="23" width="4.5546875" style="105" bestFit="1" customWidth="1"/>
    <col min="24" max="24" width="4" style="105" bestFit="1" customWidth="1"/>
    <col min="25" max="16384" width="9.109375" style="105"/>
  </cols>
  <sheetData>
    <row r="3" spans="1:5" ht="17.399999999999999" x14ac:dyDescent="0.3">
      <c r="E3" s="106" t="s">
        <v>456</v>
      </c>
    </row>
    <row r="12" spans="1:5" ht="13.8" thickBot="1" x14ac:dyDescent="0.3">
      <c r="A12" s="41"/>
      <c r="B12" s="155" t="s">
        <v>185</v>
      </c>
      <c r="C12" s="155"/>
      <c r="D12" s="155"/>
      <c r="E12" s="107"/>
    </row>
    <row r="13" spans="1:5" ht="12.75" customHeight="1" x14ac:dyDescent="0.25">
      <c r="A13" s="158" t="s">
        <v>186</v>
      </c>
      <c r="B13" s="44" t="s">
        <v>245</v>
      </c>
      <c r="C13" s="94">
        <v>20</v>
      </c>
      <c r="D13" s="45" t="s">
        <v>0</v>
      </c>
      <c r="E13" s="116" t="s">
        <v>187</v>
      </c>
    </row>
    <row r="14" spans="1:5" x14ac:dyDescent="0.25">
      <c r="A14" s="159"/>
      <c r="B14" s="43" t="s">
        <v>246</v>
      </c>
      <c r="C14" s="95">
        <v>0</v>
      </c>
      <c r="D14" s="46" t="s">
        <v>4</v>
      </c>
      <c r="E14" s="116" t="s">
        <v>187</v>
      </c>
    </row>
    <row r="15" spans="1:5" x14ac:dyDescent="0.25">
      <c r="A15" s="159"/>
      <c r="B15" s="43" t="s">
        <v>247</v>
      </c>
      <c r="C15" s="95">
        <v>0</v>
      </c>
      <c r="D15" s="46" t="s">
        <v>4</v>
      </c>
      <c r="E15" s="116" t="s">
        <v>187</v>
      </c>
    </row>
    <row r="16" spans="1:5" ht="16.2" thickBot="1" x14ac:dyDescent="0.35">
      <c r="A16" s="160"/>
      <c r="B16" s="64" t="s">
        <v>233</v>
      </c>
      <c r="C16" s="96">
        <v>37.9</v>
      </c>
      <c r="D16" s="65" t="s">
        <v>234</v>
      </c>
      <c r="E16" s="116" t="s">
        <v>187</v>
      </c>
    </row>
    <row r="17" spans="1:6" x14ac:dyDescent="0.25">
      <c r="A17" s="161" t="s">
        <v>188</v>
      </c>
      <c r="B17" s="44" t="s">
        <v>211</v>
      </c>
      <c r="C17" s="97">
        <v>40</v>
      </c>
      <c r="D17" s="45" t="s">
        <v>1</v>
      </c>
      <c r="E17" s="116" t="s">
        <v>187</v>
      </c>
    </row>
    <row r="18" spans="1:6" x14ac:dyDescent="0.25">
      <c r="A18" s="162"/>
      <c r="B18" s="43" t="s">
        <v>189</v>
      </c>
      <c r="C18" s="98">
        <v>1</v>
      </c>
      <c r="D18" s="47" t="s">
        <v>190</v>
      </c>
      <c r="E18" s="117" t="s">
        <v>187</v>
      </c>
    </row>
    <row r="19" spans="1:6" ht="13.8" x14ac:dyDescent="0.3">
      <c r="A19" s="162"/>
      <c r="B19" s="43" t="s">
        <v>191</v>
      </c>
      <c r="C19" s="95">
        <v>100</v>
      </c>
      <c r="D19" s="46" t="s">
        <v>192</v>
      </c>
      <c r="E19" s="117" t="s">
        <v>187</v>
      </c>
    </row>
    <row r="20" spans="1:6" ht="13.8" thickBot="1" x14ac:dyDescent="0.3">
      <c r="A20" s="163"/>
      <c r="B20" s="48" t="s">
        <v>193</v>
      </c>
      <c r="C20" s="99">
        <v>2.65</v>
      </c>
      <c r="D20" s="50" t="s">
        <v>190</v>
      </c>
      <c r="E20" s="117" t="s">
        <v>187</v>
      </c>
    </row>
    <row r="21" spans="1:6" x14ac:dyDescent="0.25">
      <c r="A21" s="161" t="s">
        <v>194</v>
      </c>
      <c r="B21" s="44" t="s">
        <v>195</v>
      </c>
      <c r="C21" s="100" t="s">
        <v>457</v>
      </c>
      <c r="D21" s="51"/>
      <c r="E21" s="117" t="s">
        <v>187</v>
      </c>
    </row>
    <row r="22" spans="1:6" x14ac:dyDescent="0.25">
      <c r="A22" s="162"/>
      <c r="B22" s="43" t="s">
        <v>196</v>
      </c>
      <c r="C22" s="98">
        <v>2</v>
      </c>
      <c r="D22" s="46" t="s">
        <v>0</v>
      </c>
      <c r="E22" s="117" t="s">
        <v>187</v>
      </c>
      <c r="F22" s="108" t="str">
        <f>"In this configuration, DC2 can't be higher than " &amp; TEXT(Vfilt_voltage - 1,"##.0") &amp;"V"</f>
        <v>In this configuration, DC2 can't be higher than 17V</v>
      </c>
    </row>
    <row r="23" spans="1:6" x14ac:dyDescent="0.25">
      <c r="A23" s="162"/>
      <c r="B23" s="43" t="s">
        <v>279</v>
      </c>
      <c r="C23" s="98" t="s">
        <v>273</v>
      </c>
      <c r="D23" s="46"/>
      <c r="E23" s="117" t="s">
        <v>187</v>
      </c>
    </row>
    <row r="24" spans="1:6" x14ac:dyDescent="0.25">
      <c r="A24" s="162"/>
      <c r="B24" s="43" t="s">
        <v>197</v>
      </c>
      <c r="C24" s="98">
        <v>26</v>
      </c>
      <c r="D24" s="46" t="s">
        <v>1</v>
      </c>
      <c r="E24" s="117" t="s">
        <v>187</v>
      </c>
    </row>
    <row r="25" spans="1:6" x14ac:dyDescent="0.25">
      <c r="A25" s="162"/>
      <c r="B25" s="43" t="s">
        <v>198</v>
      </c>
      <c r="C25" s="101">
        <v>2</v>
      </c>
      <c r="D25" s="47" t="s">
        <v>190</v>
      </c>
      <c r="E25" s="117" t="s">
        <v>187</v>
      </c>
    </row>
    <row r="26" spans="1:6" ht="13.8" x14ac:dyDescent="0.3">
      <c r="A26" s="162"/>
      <c r="B26" s="43" t="s">
        <v>199</v>
      </c>
      <c r="C26" s="95">
        <v>120</v>
      </c>
      <c r="D26" s="46" t="s">
        <v>192</v>
      </c>
      <c r="E26" s="117" t="s">
        <v>187</v>
      </c>
    </row>
    <row r="27" spans="1:6" ht="13.8" thickBot="1" x14ac:dyDescent="0.3">
      <c r="A27" s="163"/>
      <c r="B27" s="48" t="s">
        <v>200</v>
      </c>
      <c r="C27" s="99">
        <v>1.32</v>
      </c>
      <c r="D27" s="50" t="s">
        <v>190</v>
      </c>
      <c r="E27" s="117" t="s">
        <v>187</v>
      </c>
    </row>
    <row r="28" spans="1:6" ht="12.75" customHeight="1" x14ac:dyDescent="0.25">
      <c r="A28" s="164" t="s">
        <v>72</v>
      </c>
      <c r="B28" s="44" t="s">
        <v>201</v>
      </c>
      <c r="C28" s="100" t="s">
        <v>457</v>
      </c>
      <c r="D28" s="51"/>
      <c r="E28" s="117" t="s">
        <v>187</v>
      </c>
    </row>
    <row r="29" spans="1:6" ht="13.8" thickBot="1" x14ac:dyDescent="0.3">
      <c r="A29" s="165"/>
      <c r="B29" s="48" t="s">
        <v>202</v>
      </c>
      <c r="C29" s="102">
        <v>6</v>
      </c>
      <c r="D29" s="49" t="s">
        <v>1</v>
      </c>
      <c r="E29" s="117" t="s">
        <v>187</v>
      </c>
      <c r="F29" s="109" t="str">
        <f>"V20V Load (" &amp; TEXT(C29,"##.0") &amp; "mA) is above limit (" &amp;TEXT(V20V_current_limit,"##.0") &amp;")"</f>
        <v>V20V Load (6mA) is above limit (7)</v>
      </c>
    </row>
    <row r="30" spans="1:6" ht="13.8" thickBot="1" x14ac:dyDescent="0.3">
      <c r="A30" s="166"/>
      <c r="B30" s="77" t="s">
        <v>261</v>
      </c>
      <c r="C30" s="103">
        <v>5</v>
      </c>
      <c r="D30" s="78"/>
      <c r="E30" s="116" t="s">
        <v>187</v>
      </c>
      <c r="F30" s="109"/>
    </row>
    <row r="31" spans="1:6" ht="13.8" thickBot="1" x14ac:dyDescent="0.3">
      <c r="A31" s="164" t="s">
        <v>60</v>
      </c>
      <c r="B31" s="54" t="s">
        <v>203</v>
      </c>
      <c r="C31" s="149" t="s">
        <v>457</v>
      </c>
      <c r="D31" s="55"/>
      <c r="E31" s="118" t="s">
        <v>187</v>
      </c>
    </row>
    <row r="32" spans="1:6" ht="18" customHeight="1" thickBot="1" x14ac:dyDescent="0.3">
      <c r="A32" s="166"/>
      <c r="B32" s="53" t="s">
        <v>435</v>
      </c>
      <c r="C32" s="150">
        <v>16</v>
      </c>
      <c r="D32" s="141" t="s">
        <v>340</v>
      </c>
      <c r="E32" s="142" t="s">
        <v>187</v>
      </c>
    </row>
    <row r="33" spans="1:25" ht="13.8" thickBot="1" x14ac:dyDescent="0.3">
      <c r="A33" s="52"/>
      <c r="B33" s="53" t="s">
        <v>204</v>
      </c>
      <c r="C33" s="156" t="s">
        <v>205</v>
      </c>
      <c r="D33" s="157"/>
      <c r="E33" s="118" t="s">
        <v>187</v>
      </c>
    </row>
    <row r="34" spans="1:25" x14ac:dyDescent="0.25">
      <c r="E34" s="119"/>
    </row>
    <row r="35" spans="1:25" x14ac:dyDescent="0.25">
      <c r="E35" s="119"/>
      <c r="K35" s="110">
        <f>C38</f>
        <v>26.065963060686016</v>
      </c>
      <c r="L35" s="111" t="s">
        <v>1</v>
      </c>
    </row>
    <row r="36" spans="1:25" ht="13.8" thickBot="1" x14ac:dyDescent="0.3">
      <c r="A36" s="66"/>
      <c r="B36" s="167" t="s">
        <v>251</v>
      </c>
      <c r="C36" s="167"/>
      <c r="D36" s="167"/>
      <c r="E36" s="117" t="s">
        <v>187</v>
      </c>
    </row>
    <row r="37" spans="1:25" x14ac:dyDescent="0.25">
      <c r="A37" s="170" t="s">
        <v>236</v>
      </c>
      <c r="B37" s="171"/>
      <c r="C37" s="112">
        <f>IF(C28="Yes",'Overall efficiency'!I73+Basic!C29, 'Overall efficiency'!I73)</f>
        <v>11.834193527374987</v>
      </c>
      <c r="D37" s="67" t="s">
        <v>1</v>
      </c>
      <c r="E37" s="76" t="str">
        <f>"KNX bus loading above maximum allowed: " &amp; TEXT(C39,"##.0") &amp;" mA"</f>
        <v>KNX bus loading above maximum allowed: 12 mA</v>
      </c>
    </row>
    <row r="38" spans="1:25" x14ac:dyDescent="0.25">
      <c r="A38" s="151" t="s">
        <v>250</v>
      </c>
      <c r="B38" s="152"/>
      <c r="C38" s="113">
        <f>VLOOKUP(Fan_in_resistor,Fanin_Table[],1+2*Component,FALSE)</f>
        <v>26.065963060686016</v>
      </c>
      <c r="D38" s="69" t="s">
        <v>1</v>
      </c>
      <c r="E38" s="68" t="s">
        <v>237</v>
      </c>
    </row>
    <row r="39" spans="1:25" x14ac:dyDescent="0.25">
      <c r="A39" s="151" t="str">
        <f>"Established KNX Bus current limit"</f>
        <v>Established KNX Bus current limit</v>
      </c>
      <c r="B39" s="152"/>
      <c r="C39" s="113">
        <f>VLOOKUP(Basic!C16,Fanin_Table[],2+2*Component,FALSE)</f>
        <v>11.855145118733509</v>
      </c>
      <c r="D39" s="69" t="s">
        <v>1</v>
      </c>
      <c r="E39" s="68"/>
      <c r="W39" s="110">
        <f>C39</f>
        <v>11.855145118733509</v>
      </c>
      <c r="X39" s="111" t="s">
        <v>1</v>
      </c>
    </row>
    <row r="40" spans="1:25" x14ac:dyDescent="0.25">
      <c r="A40" s="151" t="s">
        <v>257</v>
      </c>
      <c r="B40" s="152"/>
      <c r="C40" s="113">
        <f>MIN(VLOOKUP(C16,Fanin_Table[],10)+(C30-4)*VLOOKUP(C16,Fanin_Table[],9),Ibus_lim)</f>
        <v>7.3435356200527702</v>
      </c>
      <c r="D40" s="69" t="s">
        <v>1</v>
      </c>
      <c r="E40" s="68"/>
    </row>
    <row r="41" spans="1:25" x14ac:dyDescent="0.25">
      <c r="A41" s="151" t="s">
        <v>238</v>
      </c>
      <c r="B41" s="152"/>
      <c r="C41" s="114">
        <f>'Overall efficiency'!I80</f>
        <v>86.219976963429801</v>
      </c>
      <c r="D41" s="69" t="s">
        <v>4</v>
      </c>
      <c r="E41" s="70"/>
    </row>
    <row r="42" spans="1:25" x14ac:dyDescent="0.25">
      <c r="A42" s="151" t="s">
        <v>239</v>
      </c>
      <c r="B42" s="152"/>
      <c r="C42" s="114">
        <f>'Overall efficiency'!I81</f>
        <v>100</v>
      </c>
      <c r="D42" s="69" t="s">
        <v>4</v>
      </c>
      <c r="E42" s="70"/>
    </row>
    <row r="43" spans="1:25" x14ac:dyDescent="0.25">
      <c r="A43" s="151" t="s">
        <v>389</v>
      </c>
      <c r="B43" s="152"/>
      <c r="C43" s="114">
        <f>'Overall efficiency'!I85</f>
        <v>68.013601351326628</v>
      </c>
      <c r="D43" s="69" t="s">
        <v>4</v>
      </c>
      <c r="E43" s="70"/>
      <c r="X43" s="137">
        <f>Islope</f>
        <v>0.51451187335092352</v>
      </c>
      <c r="Y43" s="137" t="s">
        <v>410</v>
      </c>
    </row>
    <row r="44" spans="1:25" x14ac:dyDescent="0.25">
      <c r="A44" s="153" t="s">
        <v>278</v>
      </c>
      <c r="B44" s="154"/>
      <c r="C44" s="114">
        <v>2</v>
      </c>
      <c r="D44" s="69" t="s">
        <v>0</v>
      </c>
      <c r="E44" s="70"/>
    </row>
    <row r="45" spans="1:25" ht="13.8" x14ac:dyDescent="0.3">
      <c r="A45" s="151" t="s">
        <v>240</v>
      </c>
      <c r="B45" s="152"/>
      <c r="C45" s="114">
        <v>10</v>
      </c>
      <c r="D45" s="69" t="s">
        <v>241</v>
      </c>
      <c r="E45" s="70"/>
    </row>
    <row r="46" spans="1:25" ht="14.4" thickBot="1" x14ac:dyDescent="0.35">
      <c r="A46" s="168" t="s">
        <v>242</v>
      </c>
      <c r="B46" s="169"/>
      <c r="C46" s="115">
        <v>15</v>
      </c>
      <c r="D46" s="71" t="s">
        <v>241</v>
      </c>
      <c r="E46" s="70"/>
    </row>
    <row r="47" spans="1:25" ht="13.8" thickBot="1" x14ac:dyDescent="0.3">
      <c r="A47" s="168" t="s">
        <v>386</v>
      </c>
      <c r="B47" s="169" t="s">
        <v>385</v>
      </c>
      <c r="C47" s="115">
        <f>'Overall efficiency'!I75</f>
        <v>1.836524961937716</v>
      </c>
      <c r="D47" s="71" t="s">
        <v>0</v>
      </c>
    </row>
    <row r="48" spans="1:25" x14ac:dyDescent="0.25">
      <c r="A48"/>
      <c r="B48"/>
      <c r="C48"/>
      <c r="D48"/>
    </row>
    <row r="51" spans="1:5" x14ac:dyDescent="0.25">
      <c r="A51" s="66"/>
      <c r="B51" s="167" t="s">
        <v>412</v>
      </c>
      <c r="C51" s="167"/>
      <c r="D51" s="167"/>
      <c r="E51" s="136"/>
    </row>
    <row r="52" spans="1:5" ht="13.8" thickBot="1" x14ac:dyDescent="0.3">
      <c r="A52" s="66"/>
      <c r="B52" s="167" t="s">
        <v>185</v>
      </c>
      <c r="C52" s="167"/>
      <c r="D52" s="167"/>
    </row>
    <row r="53" spans="1:5" ht="13.8" thickBot="1" x14ac:dyDescent="0.3">
      <c r="A53" s="151" t="s">
        <v>413</v>
      </c>
      <c r="B53" s="152"/>
      <c r="C53" s="104">
        <v>13</v>
      </c>
      <c r="D53" s="69" t="s">
        <v>308</v>
      </c>
      <c r="E53" s="143" t="s">
        <v>432</v>
      </c>
    </row>
    <row r="54" spans="1:5" ht="13.8" thickBot="1" x14ac:dyDescent="0.3">
      <c r="A54" s="151" t="s">
        <v>414</v>
      </c>
      <c r="B54" s="152"/>
      <c r="C54" s="104">
        <v>5</v>
      </c>
      <c r="D54" s="69" t="s">
        <v>1</v>
      </c>
      <c r="E54" s="143" t="s">
        <v>432</v>
      </c>
    </row>
    <row r="55" spans="1:5" ht="13.8" thickBot="1" x14ac:dyDescent="0.3">
      <c r="A55" s="138"/>
      <c r="B55" s="167" t="s">
        <v>415</v>
      </c>
      <c r="C55" s="167"/>
      <c r="D55" s="167"/>
      <c r="E55" s="144"/>
    </row>
    <row r="56" spans="1:5" x14ac:dyDescent="0.25">
      <c r="A56" s="170" t="s">
        <v>411</v>
      </c>
      <c r="B56" s="171"/>
      <c r="C56" s="112">
        <f>Islope</f>
        <v>0.51451187335092352</v>
      </c>
      <c r="D56" s="67" t="s">
        <v>410</v>
      </c>
      <c r="E56" s="143" t="s">
        <v>432</v>
      </c>
    </row>
    <row r="57" spans="1:5" x14ac:dyDescent="0.25">
      <c r="A57" s="151" t="s">
        <v>416</v>
      </c>
      <c r="B57" s="152"/>
      <c r="C57" s="114">
        <f>'C4'!C32</f>
        <v>1.8688362919132149</v>
      </c>
      <c r="D57" s="69" t="s">
        <v>0</v>
      </c>
      <c r="E57" s="143" t="s">
        <v>432</v>
      </c>
    </row>
    <row r="58" spans="1:5" ht="13.8" thickBot="1" x14ac:dyDescent="0.3">
      <c r="A58" s="168" t="s">
        <v>417</v>
      </c>
      <c r="B58" s="169"/>
      <c r="C58" s="139">
        <f>'C4'!C33</f>
        <v>6.7586836510500268</v>
      </c>
      <c r="D58" s="71" t="s">
        <v>409</v>
      </c>
      <c r="E58" s="143" t="s">
        <v>433</v>
      </c>
    </row>
    <row r="59" spans="1:5" x14ac:dyDescent="0.25">
      <c r="A59"/>
      <c r="B59"/>
      <c r="C59"/>
      <c r="D59"/>
    </row>
    <row r="60" spans="1:5" x14ac:dyDescent="0.25">
      <c r="A60"/>
      <c r="B60"/>
      <c r="C60"/>
      <c r="D60"/>
    </row>
    <row r="61" spans="1:5" x14ac:dyDescent="0.25">
      <c r="A61"/>
      <c r="B61"/>
      <c r="C61"/>
      <c r="D61"/>
    </row>
    <row r="62" spans="1:5" x14ac:dyDescent="0.25">
      <c r="A62"/>
      <c r="B62"/>
      <c r="C62"/>
      <c r="D62"/>
    </row>
    <row r="63" spans="1:5" x14ac:dyDescent="0.25">
      <c r="A63"/>
      <c r="B63"/>
      <c r="C63"/>
      <c r="D63"/>
    </row>
  </sheetData>
  <sheetProtection sheet="1" objects="1" scenarios="1" selectLockedCells="1"/>
  <dataConsolidate/>
  <mergeCells count="27">
    <mergeCell ref="B52:D52"/>
    <mergeCell ref="B55:D55"/>
    <mergeCell ref="A31:A32"/>
    <mergeCell ref="A57:B57"/>
    <mergeCell ref="A58:B58"/>
    <mergeCell ref="B51:D51"/>
    <mergeCell ref="A56:B56"/>
    <mergeCell ref="A53:B53"/>
    <mergeCell ref="A54:B54"/>
    <mergeCell ref="A47:B47"/>
    <mergeCell ref="A42:B42"/>
    <mergeCell ref="A45:B45"/>
    <mergeCell ref="A46:B46"/>
    <mergeCell ref="B36:D36"/>
    <mergeCell ref="A37:B37"/>
    <mergeCell ref="A38:B38"/>
    <mergeCell ref="B12:D12"/>
    <mergeCell ref="C33:D33"/>
    <mergeCell ref="A13:A16"/>
    <mergeCell ref="A17:A20"/>
    <mergeCell ref="A21:A27"/>
    <mergeCell ref="A28:A30"/>
    <mergeCell ref="A39:B39"/>
    <mergeCell ref="A41:B41"/>
    <mergeCell ref="A43:B43"/>
    <mergeCell ref="A40:B40"/>
    <mergeCell ref="A44:B44"/>
  </mergeCells>
  <conditionalFormatting sqref="E37">
    <cfRule type="expression" dxfId="18" priority="28" stopIfTrue="1">
      <formula>$C$37&gt;$C$39</formula>
    </cfRule>
  </conditionalFormatting>
  <conditionalFormatting sqref="A42:D42 A45:D46">
    <cfRule type="expression" dxfId="17" priority="27">
      <formula>$C$21="No"</formula>
    </cfRule>
  </conditionalFormatting>
  <conditionalFormatting sqref="C37">
    <cfRule type="expression" dxfId="16" priority="26">
      <formula>$C$37&gt;$C$39</formula>
    </cfRule>
  </conditionalFormatting>
  <conditionalFormatting sqref="C38">
    <cfRule type="expression" dxfId="15" priority="25">
      <formula>$C$25&lt;$C$8</formula>
    </cfRule>
  </conditionalFormatting>
  <conditionalFormatting sqref="E38">
    <cfRule type="expression" dxfId="14" priority="23">
      <formula>$C$25&lt;$C$8</formula>
    </cfRule>
  </conditionalFormatting>
  <conditionalFormatting sqref="E39:E40">
    <cfRule type="expression" dxfId="13" priority="22">
      <formula>$C$26&lt;$C$15</formula>
    </cfRule>
  </conditionalFormatting>
  <conditionalFormatting sqref="B29:D30">
    <cfRule type="expression" dxfId="12" priority="21" stopIfTrue="1">
      <formula>$C$28="No"</formula>
    </cfRule>
  </conditionalFormatting>
  <conditionalFormatting sqref="B22:D27">
    <cfRule type="expression" dxfId="11" priority="20" stopIfTrue="1">
      <formula>$C$21="No"</formula>
    </cfRule>
  </conditionalFormatting>
  <conditionalFormatting sqref="A40:D40">
    <cfRule type="expression" dxfId="10" priority="18">
      <formula>$C$28="No"</formula>
    </cfRule>
  </conditionalFormatting>
  <conditionalFormatting sqref="C29:C30">
    <cfRule type="expression" dxfId="9" priority="17">
      <formula>AND($C$29&gt;V20V_current_limit, $C$28="Yes")</formula>
    </cfRule>
  </conditionalFormatting>
  <conditionalFormatting sqref="F29:F30">
    <cfRule type="expression" dxfId="8" priority="16">
      <formula>AND($C$29&gt;V20V_current_limit,$C$28="Yes")</formula>
    </cfRule>
  </conditionalFormatting>
  <conditionalFormatting sqref="C40">
    <cfRule type="expression" dxfId="7" priority="15">
      <formula>AND($C$29&gt;V20V_current_limit,$C$28="Yes")</formula>
    </cfRule>
  </conditionalFormatting>
  <conditionalFormatting sqref="F22">
    <cfRule type="expression" dxfId="6" priority="14">
      <formula>(_Vdd2+1)&gt;Vfilt_voltage</formula>
    </cfRule>
  </conditionalFormatting>
  <conditionalFormatting sqref="C22">
    <cfRule type="expression" dxfId="5" priority="13">
      <formula>(_Vdd2+1)&gt;Vfilt_voltage</formula>
    </cfRule>
  </conditionalFormatting>
  <conditionalFormatting sqref="B30:E30">
    <cfRule type="expression" dxfId="4" priority="12">
      <formula>Component=_NCN5120</formula>
    </cfRule>
  </conditionalFormatting>
  <conditionalFormatting sqref="A47:D47">
    <cfRule type="expression" dxfId="3" priority="10">
      <formula>$C$21="No"</formula>
    </cfRule>
  </conditionalFormatting>
  <conditionalFormatting sqref="C56">
    <cfRule type="expression" dxfId="2" priority="7">
      <formula>$C$37&gt;$C$39</formula>
    </cfRule>
  </conditionalFormatting>
  <conditionalFormatting sqref="B31:D32">
    <cfRule type="expression" dxfId="1" priority="1">
      <formula>Component=_NCN5110</formula>
    </cfRule>
  </conditionalFormatting>
  <dataValidations count="13">
    <dataValidation type="list" allowBlank="1" showInputMessage="1" showErrorMessage="1" sqref="C13">
      <formula1>VBUS_Validation</formula1>
    </dataValidation>
    <dataValidation type="list" showInputMessage="1" showErrorMessage="1" sqref="C28 C21">
      <formula1>"Yes,No"</formula1>
    </dataValidation>
    <dataValidation type="list" allowBlank="1" showInputMessage="1" showErrorMessage="1" sqref="C31">
      <formula1>"Yes,No"</formula1>
    </dataValidation>
    <dataValidation type="decimal" allowBlank="1" showInputMessage="1" showErrorMessage="1" errorTitle="Invalid Parameter" error="DC2 value is out of bounds" sqref="C22">
      <formula1>1.2</formula1>
      <formula2>21</formula2>
    </dataValidation>
    <dataValidation type="decimal" allowBlank="1" showInputMessage="1" showErrorMessage="1" sqref="C24">
      <formula1>0</formula1>
      <formula2>100</formula2>
    </dataValidation>
    <dataValidation type="whole" allowBlank="1" showInputMessage="1" showErrorMessage="1" sqref="C18 C25">
      <formula1>1</formula1>
      <formula2>10</formula2>
    </dataValidation>
    <dataValidation type="decimal" allowBlank="1" showInputMessage="1" showErrorMessage="1" errorTitle="Invalid Parameter" error="DC1 Load must be between 0 and 100 mA" sqref="C17">
      <formula1>0</formula1>
      <formula2>100</formula2>
    </dataValidation>
    <dataValidation type="decimal" allowBlank="1" showInputMessage="1" showErrorMessage="1" sqref="C30">
      <formula1>0</formula1>
      <formula2>7</formula2>
    </dataValidation>
    <dataValidation type="list" showInputMessage="1" showErrorMessage="1" sqref="C16">
      <formula1>IF(Component=_NCN5121,Fanin_NCN5121,FaninResistor)</formula1>
    </dataValidation>
    <dataValidation type="list" allowBlank="1" showInputMessage="1" showErrorMessage="1" sqref="C23">
      <formula1>ResistorSeries</formula1>
    </dataValidation>
    <dataValidation type="list" allowBlank="1" showInputMessage="1" showErrorMessage="1" sqref="C33:D33">
      <formula1>IF(Component=_NCN5110,"Analog",IfType)</formula1>
    </dataValidation>
    <dataValidation type="whole" allowBlank="1" showInputMessage="1" showErrorMessage="1" sqref="C53">
      <formula1>12</formula1>
      <formula2>4000</formula2>
    </dataValidation>
    <dataValidation type="list" allowBlank="1" showInputMessage="1" showErrorMessage="1" sqref="C32">
      <formula1>"8,16"</formula1>
    </dataValidation>
  </dataValidations>
  <hyperlinks>
    <hyperlink ref="E13" location="VBUS1_Voltage" tooltip="Click here to get help on the VBUS1 Voltage parameter" display="Help Me!"/>
    <hyperlink ref="E14" location="Communication" tooltip="Click here to get help on the VBUS1 Voltage parameter" display="Help Me!"/>
    <hyperlink ref="E15" location="Communication___of__0" tooltip="Click here to get help on the VBUS1 Voltage parameter" display="Help Me!"/>
    <hyperlink ref="E21" location="DC2_Enable" tooltip="Click here to get help on the VBUS1 Voltage parameter" display="Help Me!"/>
    <hyperlink ref="E22" location="DC2_Voltage" tooltip="Click here to get help on the VBUS1 Voltage parameter" display="Help Me!"/>
    <hyperlink ref="E24" location="DC2_Load" tooltip="Click here to get help on the VBUS1 Voltage parameter" display="Help Me!"/>
    <hyperlink ref="E26" location="DC2_Inductor_Value" tooltip="Click here to get help on the VBUS1 Voltage parameter" display="Help Me!"/>
    <hyperlink ref="E27" location="DC2_Inductor_Resistance" tooltip="Click here to get help on the VBUS1 Voltage parameter" display="Help Me!"/>
    <hyperlink ref="E28" location="V20V_Enable" tooltip="Click here to get help on the VBUS1 Voltage parameter" display="Help Me!"/>
    <hyperlink ref="E29" location="V20V_Load" tooltip="Click here to get help on the VBUS1 Voltage parameter" display="Help Me!"/>
    <hyperlink ref="E31" location="Xtal_Enabled" tooltip="Click here to get help on the VBUS1 Voltage parameter" display="Help Me!"/>
    <hyperlink ref="E18:E20" location="Input_Manual!A21" tooltip="Click here to get help on the VBUS1 Voltage parameter" display="Help Me!"/>
    <hyperlink ref="E25" location="DC2_Sense_Resistor" tooltip="Click here to get help on the VBUS1 Voltage parameter" display="Help Me!"/>
    <hyperlink ref="E18" location="DC1_Sense_Resistor" tooltip="Click here to get help on the VBUS1 Voltage parameter" display="Help Me!"/>
    <hyperlink ref="E19" location="DC1_Inductor_Vlaue" tooltip="Click here to get help on the VBUS1 Voltage parameter" display="Help Me!"/>
    <hyperlink ref="E20" location="DC1_Inductor_Resistance" tooltip="Click here to get help on the VBUS1 Voltage parameter" display="Help Me!"/>
    <hyperlink ref="E33" location="Interface" display="Help Me!"/>
    <hyperlink ref="E23" location="DC2_Tolerance" display="Help Me!"/>
    <hyperlink ref="E36" location="Output" tooltip="Click here to get help on the VBUS1 Voltage parameter" display="Help Me!"/>
    <hyperlink ref="E17" location="DC1_Load" display="Help Me!"/>
    <hyperlink ref="E30" location="Current_Limit_Code" display="Help Me!"/>
    <hyperlink ref="E16" location="fanin_resistor" display="Help Me!"/>
    <hyperlink ref="E53" location="Storage_and_Filter_capacitor" display="Help me!"/>
    <hyperlink ref="E54" location="Ibus_current_step" display="Help me!"/>
    <hyperlink ref="E56" location="Current_slew_rate" display="Help me!"/>
    <hyperlink ref="E57" location="Variation_of_Vfilt" display="Help me!"/>
    <hyperlink ref="E58" location="Standby_Time" display="help me!"/>
    <hyperlink ref="E32" location="uC_Clock_Output" display="Help Me!"/>
  </hyperlinks>
  <pageMargins left="0.7" right="0.7" top="0.75" bottom="0.75" header="0.3" footer="0.3"/>
  <pageSetup paperSize="9" orientation="portrait" r:id="rId1"/>
  <headerFooter>
    <oddHeader>&amp;L&amp;D&amp;CSchematic and BOM&amp;RON Semiconductor</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84108" r:id="rId4" name="Button 44">
              <controlPr defaultSize="0" print="0" autoFill="0" autoPict="0" macro="[0]!Sheet5.Button1_Print">
                <anchor moveWithCells="1" sizeWithCells="1">
                  <from>
                    <xdr:col>21</xdr:col>
                    <xdr:colOff>83820</xdr:colOff>
                    <xdr:row>25</xdr:row>
                    <xdr:rowOff>68580</xdr:rowOff>
                  </from>
                  <to>
                    <xdr:col>24</xdr:col>
                    <xdr:colOff>0</xdr:colOff>
                    <xdr:row>28</xdr:row>
                    <xdr:rowOff>7620</xdr:rowOff>
                  </to>
                </anchor>
              </controlPr>
            </control>
          </mc:Choice>
        </mc:AlternateContent>
        <mc:AlternateContent xmlns:mc="http://schemas.openxmlformats.org/markup-compatibility/2006">
          <mc:Choice Requires="x14">
            <control shapeId="984117" r:id="rId5" name="Group Box 53">
              <controlPr defaultSize="0" autoFill="0" autoPict="0">
                <anchor moveWithCells="1">
                  <from>
                    <xdr:col>2</xdr:col>
                    <xdr:colOff>7620</xdr:colOff>
                    <xdr:row>3</xdr:row>
                    <xdr:rowOff>121920</xdr:rowOff>
                  </from>
                  <to>
                    <xdr:col>3</xdr:col>
                    <xdr:colOff>601980</xdr:colOff>
                    <xdr:row>8</xdr:row>
                    <xdr:rowOff>152400</xdr:rowOff>
                  </to>
                </anchor>
              </controlPr>
            </control>
          </mc:Choice>
        </mc:AlternateContent>
        <mc:AlternateContent xmlns:mc="http://schemas.openxmlformats.org/markup-compatibility/2006">
          <mc:Choice Requires="x14">
            <control shapeId="984119" r:id="rId6" name="Option Button 55">
              <controlPr defaultSize="0" autoFill="0" autoLine="0" autoPict="0" macro="[0]!SetToZero">
                <anchor moveWithCells="1">
                  <from>
                    <xdr:col>2</xdr:col>
                    <xdr:colOff>106680</xdr:colOff>
                    <xdr:row>5</xdr:row>
                    <xdr:rowOff>137160</xdr:rowOff>
                  </from>
                  <to>
                    <xdr:col>3</xdr:col>
                    <xdr:colOff>495300</xdr:colOff>
                    <xdr:row>7</xdr:row>
                    <xdr:rowOff>22860</xdr:rowOff>
                  </to>
                </anchor>
              </controlPr>
            </control>
          </mc:Choice>
        </mc:AlternateContent>
        <mc:AlternateContent xmlns:mc="http://schemas.openxmlformats.org/markup-compatibility/2006">
          <mc:Choice Requires="x14">
            <control shapeId="984120" r:id="rId7" name="Option Button 56">
              <controlPr defaultSize="0" autoFill="0" autoLine="0" autoPict="0" macro="[0]!SetToZero">
                <anchor moveWithCells="1">
                  <from>
                    <xdr:col>2</xdr:col>
                    <xdr:colOff>99060</xdr:colOff>
                    <xdr:row>7</xdr:row>
                    <xdr:rowOff>38100</xdr:rowOff>
                  </from>
                  <to>
                    <xdr:col>3</xdr:col>
                    <xdr:colOff>487680</xdr:colOff>
                    <xdr:row>8</xdr:row>
                    <xdr:rowOff>91440</xdr:rowOff>
                  </to>
                </anchor>
              </controlPr>
            </control>
          </mc:Choice>
        </mc:AlternateContent>
        <mc:AlternateContent xmlns:mc="http://schemas.openxmlformats.org/markup-compatibility/2006">
          <mc:Choice Requires="x14">
            <control shapeId="984121" r:id="rId8" name="Option Button 57">
              <controlPr defaultSize="0" autoFill="0" autoLine="0" autoPict="0" macro="[0]!SetToAnalog" altText="NCN5110">
                <anchor moveWithCells="1">
                  <from>
                    <xdr:col>2</xdr:col>
                    <xdr:colOff>114300</xdr:colOff>
                    <xdr:row>4</xdr:row>
                    <xdr:rowOff>76200</xdr:rowOff>
                  </from>
                  <to>
                    <xdr:col>3</xdr:col>
                    <xdr:colOff>502920</xdr:colOff>
                    <xdr:row>5</xdr:row>
                    <xdr:rowOff>121920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9" stopIfTrue="1" id="{E40BD439-9FBF-44E2-85FB-B68877794842}">
            <xm:f>'Overall efficiency'!$J$72=1</xm:f>
            <x14:dxf>
              <font>
                <color rgb="FFFF0000"/>
              </font>
            </x14:dxf>
          </x14:cfRule>
          <xm:sqref>E39:E40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138"/>
  <sheetViews>
    <sheetView showGridLines="0" showRowColHeaders="0" topLeftCell="A73" workbookViewId="0">
      <selection activeCell="B125" sqref="B125"/>
    </sheetView>
  </sheetViews>
  <sheetFormatPr defaultRowHeight="13.2" x14ac:dyDescent="0.25"/>
  <cols>
    <col min="1" max="1" width="23.33203125" bestFit="1" customWidth="1"/>
    <col min="2" max="2" width="198.88671875" customWidth="1"/>
  </cols>
  <sheetData>
    <row r="1" spans="1:2" x14ac:dyDescent="0.25">
      <c r="A1" s="56" t="s">
        <v>206</v>
      </c>
      <c r="B1" s="57"/>
    </row>
    <row r="2" spans="1:2" ht="26.4" x14ac:dyDescent="0.25">
      <c r="A2" s="57"/>
      <c r="B2" s="58" t="s">
        <v>418</v>
      </c>
    </row>
    <row r="3" spans="1:2" x14ac:dyDescent="0.25">
      <c r="A3" s="57"/>
      <c r="B3" s="57"/>
    </row>
    <row r="4" spans="1:2" x14ac:dyDescent="0.25">
      <c r="A4" s="63" t="s">
        <v>207</v>
      </c>
      <c r="B4" s="57"/>
    </row>
    <row r="5" spans="1:2" x14ac:dyDescent="0.25">
      <c r="A5" s="57"/>
      <c r="B5" s="57"/>
    </row>
    <row r="6" spans="1:2" x14ac:dyDescent="0.25">
      <c r="A6" s="56" t="s">
        <v>30</v>
      </c>
      <c r="B6" s="57"/>
    </row>
    <row r="7" spans="1:2" x14ac:dyDescent="0.25">
      <c r="A7" s="57"/>
      <c r="B7" s="58" t="s">
        <v>208</v>
      </c>
    </row>
    <row r="8" spans="1:2" x14ac:dyDescent="0.25">
      <c r="A8" s="57"/>
      <c r="B8" s="57"/>
    </row>
    <row r="9" spans="1:2" x14ac:dyDescent="0.25">
      <c r="A9" s="42" t="s">
        <v>207</v>
      </c>
      <c r="B9" s="57"/>
    </row>
    <row r="10" spans="1:2" x14ac:dyDescent="0.25">
      <c r="A10" s="57"/>
      <c r="B10" s="57"/>
    </row>
    <row r="11" spans="1:2" x14ac:dyDescent="0.25">
      <c r="A11" s="56" t="s">
        <v>209</v>
      </c>
      <c r="B11" s="57"/>
    </row>
    <row r="12" spans="1:2" x14ac:dyDescent="0.25">
      <c r="A12" s="57"/>
      <c r="B12" s="58" t="s">
        <v>210</v>
      </c>
    </row>
    <row r="13" spans="1:2" x14ac:dyDescent="0.25">
      <c r="A13" s="57"/>
      <c r="B13" s="57"/>
    </row>
    <row r="14" spans="1:2" x14ac:dyDescent="0.25">
      <c r="A14" s="42" t="s">
        <v>207</v>
      </c>
      <c r="B14" s="57"/>
    </row>
    <row r="15" spans="1:2" x14ac:dyDescent="0.25">
      <c r="A15" s="57"/>
      <c r="B15" s="57"/>
    </row>
    <row r="16" spans="1:2" x14ac:dyDescent="0.25">
      <c r="A16" s="56" t="s">
        <v>233</v>
      </c>
      <c r="B16" s="57"/>
    </row>
    <row r="17" spans="1:2" x14ac:dyDescent="0.25">
      <c r="A17" s="57"/>
      <c r="B17" s="58" t="s">
        <v>451</v>
      </c>
    </row>
    <row r="18" spans="1:2" x14ac:dyDescent="0.25">
      <c r="A18" s="57"/>
      <c r="B18" s="57"/>
    </row>
    <row r="19" spans="1:2" x14ac:dyDescent="0.25">
      <c r="A19" s="42" t="s">
        <v>207</v>
      </c>
      <c r="B19" s="57"/>
    </row>
    <row r="20" spans="1:2" x14ac:dyDescent="0.25">
      <c r="A20" s="57"/>
      <c r="B20" s="57"/>
    </row>
    <row r="21" spans="1:2" x14ac:dyDescent="0.25">
      <c r="A21" s="56" t="s">
        <v>211</v>
      </c>
      <c r="B21" s="57"/>
    </row>
    <row r="22" spans="1:2" ht="26.4" x14ac:dyDescent="0.25">
      <c r="A22" s="57"/>
      <c r="B22" s="58" t="s">
        <v>419</v>
      </c>
    </row>
    <row r="23" spans="1:2" x14ac:dyDescent="0.25">
      <c r="A23" s="57"/>
      <c r="B23" s="57"/>
    </row>
    <row r="24" spans="1:2" x14ac:dyDescent="0.25">
      <c r="A24" s="42" t="s">
        <v>207</v>
      </c>
      <c r="B24" s="57"/>
    </row>
    <row r="25" spans="1:2" x14ac:dyDescent="0.25">
      <c r="A25" s="57"/>
      <c r="B25" s="57"/>
    </row>
    <row r="26" spans="1:2" x14ac:dyDescent="0.25">
      <c r="A26" s="56" t="s">
        <v>212</v>
      </c>
      <c r="B26" s="57"/>
    </row>
    <row r="27" spans="1:2" ht="26.4" x14ac:dyDescent="0.25">
      <c r="A27" s="59"/>
      <c r="B27" s="60" t="s">
        <v>213</v>
      </c>
    </row>
    <row r="28" spans="1:2" x14ac:dyDescent="0.25">
      <c r="A28" s="57"/>
      <c r="B28" s="57"/>
    </row>
    <row r="29" spans="1:2" x14ac:dyDescent="0.25">
      <c r="A29" s="42" t="s">
        <v>207</v>
      </c>
      <c r="B29" s="57"/>
    </row>
    <row r="30" spans="1:2" x14ac:dyDescent="0.25">
      <c r="A30" s="57"/>
      <c r="B30" s="57"/>
    </row>
    <row r="31" spans="1:2" x14ac:dyDescent="0.25">
      <c r="A31" s="56" t="s">
        <v>214</v>
      </c>
      <c r="B31" s="57"/>
    </row>
    <row r="32" spans="1:2" ht="13.8" x14ac:dyDescent="0.3">
      <c r="A32" s="57"/>
      <c r="B32" s="58" t="s">
        <v>215</v>
      </c>
    </row>
    <row r="33" spans="1:2" x14ac:dyDescent="0.25">
      <c r="A33" s="57"/>
      <c r="B33" s="57"/>
    </row>
    <row r="34" spans="1:2" x14ac:dyDescent="0.25">
      <c r="A34" s="42" t="s">
        <v>207</v>
      </c>
      <c r="B34" s="57"/>
    </row>
    <row r="35" spans="1:2" x14ac:dyDescent="0.25">
      <c r="A35" s="57"/>
      <c r="B35" s="57"/>
    </row>
    <row r="36" spans="1:2" x14ac:dyDescent="0.25">
      <c r="A36" s="56" t="s">
        <v>216</v>
      </c>
      <c r="B36" s="57"/>
    </row>
    <row r="37" spans="1:2" x14ac:dyDescent="0.25">
      <c r="A37" s="61"/>
      <c r="B37" s="58" t="s">
        <v>217</v>
      </c>
    </row>
    <row r="38" spans="1:2" x14ac:dyDescent="0.25">
      <c r="A38" s="61"/>
      <c r="B38" s="57"/>
    </row>
    <row r="39" spans="1:2" x14ac:dyDescent="0.25">
      <c r="A39" s="42" t="s">
        <v>207</v>
      </c>
      <c r="B39" s="57"/>
    </row>
    <row r="40" spans="1:2" x14ac:dyDescent="0.25">
      <c r="A40" s="57"/>
      <c r="B40" s="57"/>
    </row>
    <row r="41" spans="1:2" x14ac:dyDescent="0.25">
      <c r="A41" s="56" t="s">
        <v>218</v>
      </c>
      <c r="B41" s="57"/>
    </row>
    <row r="42" spans="1:2" ht="26.4" x14ac:dyDescent="0.25">
      <c r="A42" s="57"/>
      <c r="B42" s="58" t="s">
        <v>420</v>
      </c>
    </row>
    <row r="43" spans="1:2" x14ac:dyDescent="0.25">
      <c r="A43" s="57"/>
      <c r="B43" s="57"/>
    </row>
    <row r="44" spans="1:2" x14ac:dyDescent="0.25">
      <c r="A44" s="42" t="s">
        <v>207</v>
      </c>
      <c r="B44" s="57"/>
    </row>
    <row r="45" spans="1:2" x14ac:dyDescent="0.25">
      <c r="A45" s="57"/>
      <c r="B45" s="57"/>
    </row>
    <row r="46" spans="1:2" x14ac:dyDescent="0.25">
      <c r="A46" s="56" t="s">
        <v>219</v>
      </c>
      <c r="B46" s="57"/>
    </row>
    <row r="47" spans="1:2" ht="26.4" x14ac:dyDescent="0.25">
      <c r="A47" s="57"/>
      <c r="B47" s="58" t="s">
        <v>452</v>
      </c>
    </row>
    <row r="48" spans="1:2" x14ac:dyDescent="0.25">
      <c r="A48" s="57"/>
      <c r="B48" s="57"/>
    </row>
    <row r="49" spans="1:2" x14ac:dyDescent="0.25">
      <c r="A49" s="42" t="s">
        <v>207</v>
      </c>
      <c r="B49" s="57"/>
    </row>
    <row r="50" spans="1:2" x14ac:dyDescent="0.25">
      <c r="A50" s="57"/>
      <c r="B50" s="57"/>
    </row>
    <row r="51" spans="1:2" x14ac:dyDescent="0.25">
      <c r="A51" s="56" t="s">
        <v>264</v>
      </c>
      <c r="B51" s="57"/>
    </row>
    <row r="52" spans="1:2" x14ac:dyDescent="0.25">
      <c r="A52" s="62"/>
      <c r="B52" s="60" t="s">
        <v>265</v>
      </c>
    </row>
    <row r="53" spans="1:2" x14ac:dyDescent="0.25">
      <c r="A53" s="57"/>
      <c r="B53" s="57"/>
    </row>
    <row r="54" spans="1:2" x14ac:dyDescent="0.25">
      <c r="A54" s="42" t="s">
        <v>207</v>
      </c>
      <c r="B54" s="57"/>
    </row>
    <row r="55" spans="1:2" x14ac:dyDescent="0.25">
      <c r="A55" s="57"/>
      <c r="B55" s="57"/>
    </row>
    <row r="56" spans="1:2" x14ac:dyDescent="0.25">
      <c r="A56" s="56" t="s">
        <v>220</v>
      </c>
      <c r="B56" s="57"/>
    </row>
    <row r="57" spans="1:2" x14ac:dyDescent="0.25">
      <c r="A57" s="57"/>
      <c r="B57" s="58" t="s">
        <v>221</v>
      </c>
    </row>
    <row r="58" spans="1:2" x14ac:dyDescent="0.25">
      <c r="A58" s="57"/>
      <c r="B58" s="57"/>
    </row>
    <row r="59" spans="1:2" x14ac:dyDescent="0.25">
      <c r="A59" s="42" t="s">
        <v>207</v>
      </c>
      <c r="B59" s="57"/>
    </row>
    <row r="60" spans="1:2" x14ac:dyDescent="0.25">
      <c r="A60" s="57"/>
      <c r="B60" s="57"/>
    </row>
    <row r="61" spans="1:2" x14ac:dyDescent="0.25">
      <c r="A61" s="56" t="s">
        <v>222</v>
      </c>
      <c r="B61" s="57"/>
    </row>
    <row r="62" spans="1:2" ht="26.4" x14ac:dyDescent="0.25">
      <c r="A62" s="59"/>
      <c r="B62" s="60" t="s">
        <v>223</v>
      </c>
    </row>
    <row r="63" spans="1:2" x14ac:dyDescent="0.25">
      <c r="A63" s="57"/>
      <c r="B63" s="57"/>
    </row>
    <row r="64" spans="1:2" x14ac:dyDescent="0.25">
      <c r="A64" s="42" t="s">
        <v>207</v>
      </c>
      <c r="B64" s="57"/>
    </row>
    <row r="65" spans="1:2" x14ac:dyDescent="0.25">
      <c r="A65" s="57"/>
      <c r="B65" s="57"/>
    </row>
    <row r="66" spans="1:2" x14ac:dyDescent="0.25">
      <c r="A66" s="56" t="s">
        <v>224</v>
      </c>
      <c r="B66" s="57"/>
    </row>
    <row r="67" spans="1:2" ht="13.8" x14ac:dyDescent="0.3">
      <c r="A67" s="57"/>
      <c r="B67" s="58" t="s">
        <v>225</v>
      </c>
    </row>
    <row r="68" spans="1:2" x14ac:dyDescent="0.25">
      <c r="A68" s="57"/>
      <c r="B68" s="57"/>
    </row>
    <row r="69" spans="1:2" x14ac:dyDescent="0.25">
      <c r="A69" s="42" t="s">
        <v>207</v>
      </c>
      <c r="B69" s="57"/>
    </row>
    <row r="70" spans="1:2" x14ac:dyDescent="0.25">
      <c r="A70" s="57"/>
      <c r="B70" s="57"/>
    </row>
    <row r="71" spans="1:2" x14ac:dyDescent="0.25">
      <c r="A71" s="56" t="s">
        <v>226</v>
      </c>
      <c r="B71" s="57"/>
    </row>
    <row r="72" spans="1:2" x14ac:dyDescent="0.25">
      <c r="A72" s="61"/>
      <c r="B72" s="58" t="s">
        <v>227</v>
      </c>
    </row>
    <row r="73" spans="1:2" x14ac:dyDescent="0.25">
      <c r="A73" s="61"/>
      <c r="B73" s="57"/>
    </row>
    <row r="74" spans="1:2" x14ac:dyDescent="0.25">
      <c r="A74" s="42" t="s">
        <v>207</v>
      </c>
      <c r="B74" s="57"/>
    </row>
    <row r="75" spans="1:2" x14ac:dyDescent="0.25">
      <c r="A75" s="57"/>
      <c r="B75" s="57"/>
    </row>
    <row r="76" spans="1:2" x14ac:dyDescent="0.25">
      <c r="A76" s="56" t="s">
        <v>228</v>
      </c>
      <c r="B76" s="57"/>
    </row>
    <row r="77" spans="1:2" ht="26.4" x14ac:dyDescent="0.25">
      <c r="A77" s="57"/>
      <c r="B77" s="58" t="s">
        <v>421</v>
      </c>
    </row>
    <row r="78" spans="1:2" x14ac:dyDescent="0.25">
      <c r="A78" s="57"/>
      <c r="B78" s="57"/>
    </row>
    <row r="79" spans="1:2" x14ac:dyDescent="0.25">
      <c r="A79" s="42" t="s">
        <v>207</v>
      </c>
      <c r="B79" s="57"/>
    </row>
    <row r="80" spans="1:2" x14ac:dyDescent="0.25">
      <c r="A80" s="57"/>
      <c r="B80" s="57"/>
    </row>
    <row r="81" spans="1:2" x14ac:dyDescent="0.25">
      <c r="A81" s="56" t="s">
        <v>229</v>
      </c>
      <c r="B81" s="57"/>
    </row>
    <row r="82" spans="1:2" x14ac:dyDescent="0.25">
      <c r="A82" s="57"/>
      <c r="B82" s="58" t="s">
        <v>453</v>
      </c>
    </row>
    <row r="83" spans="1:2" x14ac:dyDescent="0.25">
      <c r="A83" s="57"/>
      <c r="B83" s="57"/>
    </row>
    <row r="84" spans="1:2" x14ac:dyDescent="0.25">
      <c r="A84" s="42" t="s">
        <v>207</v>
      </c>
      <c r="B84" s="57"/>
    </row>
    <row r="85" spans="1:2" x14ac:dyDescent="0.25">
      <c r="A85" s="42"/>
      <c r="B85" s="57"/>
    </row>
    <row r="86" spans="1:2" x14ac:dyDescent="0.25">
      <c r="A86" s="56" t="s">
        <v>262</v>
      </c>
      <c r="B86" s="57"/>
    </row>
    <row r="87" spans="1:2" x14ac:dyDescent="0.25">
      <c r="A87" s="42"/>
      <c r="B87" s="61" t="s">
        <v>263</v>
      </c>
    </row>
    <row r="88" spans="1:2" x14ac:dyDescent="0.25">
      <c r="A88" s="42"/>
      <c r="B88" s="61"/>
    </row>
    <row r="89" spans="1:2" x14ac:dyDescent="0.25">
      <c r="A89" s="42" t="s">
        <v>207</v>
      </c>
      <c r="B89" s="57"/>
    </row>
    <row r="90" spans="1:2" x14ac:dyDescent="0.25">
      <c r="A90" s="57"/>
      <c r="B90" s="57"/>
    </row>
    <row r="91" spans="1:2" x14ac:dyDescent="0.25">
      <c r="A91" s="56" t="s">
        <v>230</v>
      </c>
      <c r="B91" s="57"/>
    </row>
    <row r="92" spans="1:2" ht="26.4" x14ac:dyDescent="0.25">
      <c r="A92" s="57"/>
      <c r="B92" s="58" t="s">
        <v>454</v>
      </c>
    </row>
    <row r="93" spans="1:2" x14ac:dyDescent="0.25">
      <c r="A93" s="57"/>
      <c r="B93" s="57"/>
    </row>
    <row r="94" spans="1:2" x14ac:dyDescent="0.25">
      <c r="A94" s="42" t="s">
        <v>207</v>
      </c>
      <c r="B94" s="57"/>
    </row>
    <row r="95" spans="1:2" x14ac:dyDescent="0.25">
      <c r="A95" s="42"/>
      <c r="B95" s="57"/>
    </row>
    <row r="96" spans="1:2" x14ac:dyDescent="0.25">
      <c r="A96" s="56" t="s">
        <v>436</v>
      </c>
      <c r="B96" s="57"/>
    </row>
    <row r="97" spans="1:2" x14ac:dyDescent="0.25">
      <c r="A97" s="42"/>
      <c r="B97" s="61" t="s">
        <v>437</v>
      </c>
    </row>
    <row r="98" spans="1:2" x14ac:dyDescent="0.25">
      <c r="A98" s="42"/>
      <c r="B98" s="57"/>
    </row>
    <row r="99" spans="1:2" x14ac:dyDescent="0.25">
      <c r="A99" s="42" t="s">
        <v>207</v>
      </c>
      <c r="B99" s="57"/>
    </row>
    <row r="100" spans="1:2" x14ac:dyDescent="0.25">
      <c r="A100" s="42"/>
      <c r="B100" s="57"/>
    </row>
    <row r="101" spans="1:2" x14ac:dyDescent="0.25">
      <c r="A101" s="56" t="s">
        <v>231</v>
      </c>
      <c r="B101" s="57"/>
    </row>
    <row r="102" spans="1:2" x14ac:dyDescent="0.25">
      <c r="A102" s="57"/>
      <c r="B102" s="58" t="s">
        <v>288</v>
      </c>
    </row>
    <row r="103" spans="1:2" x14ac:dyDescent="0.25">
      <c r="A103" s="57"/>
      <c r="B103" s="57"/>
    </row>
    <row r="104" spans="1:2" x14ac:dyDescent="0.25">
      <c r="A104" s="42" t="s">
        <v>207</v>
      </c>
      <c r="B104" s="57"/>
    </row>
    <row r="105" spans="1:2" x14ac:dyDescent="0.25">
      <c r="A105" s="57"/>
      <c r="B105" s="57"/>
    </row>
    <row r="106" spans="1:2" x14ac:dyDescent="0.25">
      <c r="A106" s="56" t="s">
        <v>232</v>
      </c>
      <c r="B106" s="57"/>
    </row>
    <row r="107" spans="1:2" ht="171.6" x14ac:dyDescent="0.25">
      <c r="A107" s="57"/>
      <c r="B107" s="58" t="s">
        <v>422</v>
      </c>
    </row>
    <row r="108" spans="1:2" x14ac:dyDescent="0.25">
      <c r="A108" s="57"/>
      <c r="B108" s="57"/>
    </row>
    <row r="109" spans="1:2" x14ac:dyDescent="0.25">
      <c r="A109" s="42" t="s">
        <v>207</v>
      </c>
      <c r="B109" s="57"/>
    </row>
    <row r="110" spans="1:2" x14ac:dyDescent="0.25">
      <c r="A110" s="57"/>
      <c r="B110" s="57"/>
    </row>
    <row r="111" spans="1:2" x14ac:dyDescent="0.25">
      <c r="A111" s="56" t="s">
        <v>423</v>
      </c>
      <c r="B111" s="57"/>
    </row>
    <row r="112" spans="1:2" x14ac:dyDescent="0.25">
      <c r="A112" s="57"/>
      <c r="B112" s="58" t="s">
        <v>455</v>
      </c>
    </row>
    <row r="113" spans="1:2" x14ac:dyDescent="0.25">
      <c r="A113" s="57"/>
      <c r="B113" s="61" t="s">
        <v>424</v>
      </c>
    </row>
    <row r="114" spans="1:2" x14ac:dyDescent="0.25">
      <c r="A114" s="42"/>
      <c r="B114" s="140" t="s">
        <v>425</v>
      </c>
    </row>
    <row r="115" spans="1:2" x14ac:dyDescent="0.25">
      <c r="B115" s="140" t="s">
        <v>426</v>
      </c>
    </row>
    <row r="117" spans="1:2" x14ac:dyDescent="0.25">
      <c r="A117" s="42" t="s">
        <v>207</v>
      </c>
    </row>
    <row r="118" spans="1:2" x14ac:dyDescent="0.25">
      <c r="A118" s="42"/>
    </row>
    <row r="119" spans="1:2" x14ac:dyDescent="0.25">
      <c r="A119" s="42"/>
    </row>
    <row r="120" spans="1:2" x14ac:dyDescent="0.25">
      <c r="A120" s="56" t="s">
        <v>414</v>
      </c>
    </row>
    <row r="121" spans="1:2" x14ac:dyDescent="0.25">
      <c r="A121" s="42"/>
      <c r="B121" s="33" t="s">
        <v>434</v>
      </c>
    </row>
    <row r="122" spans="1:2" x14ac:dyDescent="0.25">
      <c r="A122" s="42"/>
      <c r="B122" s="33"/>
    </row>
    <row r="123" spans="1:2" x14ac:dyDescent="0.25">
      <c r="A123" s="42" t="s">
        <v>207</v>
      </c>
    </row>
    <row r="124" spans="1:2" x14ac:dyDescent="0.25">
      <c r="A124" s="42"/>
    </row>
    <row r="125" spans="1:2" x14ac:dyDescent="0.25">
      <c r="A125" s="56" t="s">
        <v>427</v>
      </c>
    </row>
    <row r="126" spans="1:2" x14ac:dyDescent="0.25">
      <c r="B126" s="33" t="s">
        <v>428</v>
      </c>
    </row>
    <row r="128" spans="1:2" x14ac:dyDescent="0.25">
      <c r="A128" s="42" t="s">
        <v>207</v>
      </c>
    </row>
    <row r="130" spans="1:2" x14ac:dyDescent="0.25">
      <c r="A130" s="56" t="s">
        <v>416</v>
      </c>
    </row>
    <row r="131" spans="1:2" x14ac:dyDescent="0.25">
      <c r="B131" s="33" t="s">
        <v>429</v>
      </c>
    </row>
    <row r="133" spans="1:2" x14ac:dyDescent="0.25">
      <c r="A133" s="42" t="s">
        <v>207</v>
      </c>
    </row>
    <row r="135" spans="1:2" x14ac:dyDescent="0.25">
      <c r="A135" s="56" t="s">
        <v>430</v>
      </c>
    </row>
    <row r="136" spans="1:2" x14ac:dyDescent="0.25">
      <c r="B136" s="33" t="s">
        <v>431</v>
      </c>
    </row>
    <row r="138" spans="1:2" x14ac:dyDescent="0.25">
      <c r="A138" s="42" t="s">
        <v>207</v>
      </c>
    </row>
  </sheetData>
  <sheetProtection sheet="1" objects="1" scenarios="1"/>
  <dataConsolidate/>
  <hyperlinks>
    <hyperlink ref="A4" location="Basic!E4" tooltip="Go back" display="Back"/>
    <hyperlink ref="A9" location="Basic!E5" tooltip="Go back" display="Back"/>
    <hyperlink ref="A14" location="Basic!E6" tooltip="Go back" display="Back"/>
    <hyperlink ref="A19" location="Basic!E7" tooltip="Go back" display="Back"/>
    <hyperlink ref="A24" location="Basic!E8" tooltip="Go back" display="Back"/>
    <hyperlink ref="A44" location="Basic!E12" tooltip="Go back" display="Back"/>
    <hyperlink ref="A49" location="Basic!E13" tooltip="Go back" display="Back"/>
    <hyperlink ref="A59" location="Basic!E14" tooltip="Go back" display="Back"/>
    <hyperlink ref="A79" location="Basic!E18" tooltip="Go back" display="Back"/>
    <hyperlink ref="A84" location="Basic!E19" tooltip="Go back" display="Back"/>
    <hyperlink ref="A94" location="Basic!E20" tooltip="Go back" display="Back"/>
    <hyperlink ref="A109" location="Basic!E22" tooltip="Go back" display="Back"/>
    <hyperlink ref="A29" location="Basic!E9" display="Back"/>
    <hyperlink ref="A34" location="Basic!E10" display="Back"/>
    <hyperlink ref="A39" location="Basic!E11" display="Back"/>
    <hyperlink ref="A64" location="Basic!E15" display="Back"/>
    <hyperlink ref="A69" location="Basic!E16" display="Back"/>
    <hyperlink ref="A74" location="Basic!E17" display="Back"/>
    <hyperlink ref="A104" location="Basic!E21" tooltip="Go back" display="Back"/>
    <hyperlink ref="A54" location="Basic!E14" tooltip="Go back" display="Back"/>
    <hyperlink ref="A89" location="Basic!E18" tooltip="Go back" display="Back"/>
    <hyperlink ref="A117" location="Basic!E22" tooltip="Go back" display="Back"/>
    <hyperlink ref="A128" location="Basic!E22" tooltip="Go back" display="Back"/>
    <hyperlink ref="A133" location="Basic!E22" tooltip="Go back" display="Back"/>
    <hyperlink ref="A138" location="Basic!E22" tooltip="Go back" display="Back"/>
    <hyperlink ref="A123" location="Basic!E22" tooltip="Go back" display="Back"/>
    <hyperlink ref="A99" location="Basic!E20" tooltip="Go back" display="Back"/>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U81"/>
  <sheetViews>
    <sheetView showGridLines="0" showRowColHeaders="0" topLeftCell="M19" zoomScaleNormal="100" workbookViewId="0">
      <selection activeCell="U28" sqref="U28"/>
    </sheetView>
  </sheetViews>
  <sheetFormatPr defaultRowHeight="13.2" x14ac:dyDescent="0.25"/>
  <cols>
    <col min="1" max="9" width="22.44140625" hidden="1" customWidth="1"/>
    <col min="10" max="12" width="22.44140625" style="82" hidden="1" customWidth="1"/>
    <col min="13" max="13" width="22.44140625" style="82" customWidth="1"/>
    <col min="14" max="14" width="7" style="82" customWidth="1"/>
    <col min="15" max="15" width="28.44140625" customWidth="1"/>
    <col min="16" max="17" width="11.109375" hidden="1" customWidth="1"/>
    <col min="18" max="18" width="11.109375" customWidth="1"/>
    <col min="19" max="19" width="8.33203125" customWidth="1"/>
    <col min="20" max="20" width="6.88671875" bestFit="1" customWidth="1"/>
    <col min="21" max="21" width="23.88671875" bestFit="1" customWidth="1"/>
  </cols>
  <sheetData>
    <row r="1" hidden="1" x14ac:dyDescent="0.25"/>
    <row r="2" hidden="1" x14ac:dyDescent="0.25"/>
    <row r="3" hidden="1" x14ac:dyDescent="0.25"/>
    <row r="41" spans="14:21" x14ac:dyDescent="0.25">
      <c r="N41" s="33" t="s">
        <v>290</v>
      </c>
      <c r="O41" s="33" t="s">
        <v>291</v>
      </c>
      <c r="P41" s="33" t="s">
        <v>444</v>
      </c>
      <c r="Q41" s="33" t="s">
        <v>256</v>
      </c>
      <c r="R41" s="33" t="s">
        <v>249</v>
      </c>
      <c r="S41" s="83" t="s">
        <v>292</v>
      </c>
      <c r="T41" s="83" t="s">
        <v>47</v>
      </c>
      <c r="U41" s="33" t="s">
        <v>341</v>
      </c>
    </row>
    <row r="42" spans="14:21" x14ac:dyDescent="0.25">
      <c r="N42" s="33" t="s">
        <v>293</v>
      </c>
      <c r="O42" s="33" t="s">
        <v>294</v>
      </c>
      <c r="P42">
        <v>47</v>
      </c>
      <c r="Q42">
        <v>47</v>
      </c>
      <c r="R42">
        <v>47</v>
      </c>
      <c r="S42" s="83" t="s">
        <v>295</v>
      </c>
      <c r="T42" s="83" t="s">
        <v>296</v>
      </c>
      <c r="U42" s="33" t="s">
        <v>342</v>
      </c>
    </row>
    <row r="43" spans="14:21" x14ac:dyDescent="0.25">
      <c r="N43" s="33" t="s">
        <v>297</v>
      </c>
      <c r="O43" s="33" t="s">
        <v>298</v>
      </c>
      <c r="P43">
        <v>220</v>
      </c>
      <c r="Q43">
        <v>220</v>
      </c>
      <c r="R43">
        <v>220</v>
      </c>
      <c r="S43" s="83" t="s">
        <v>299</v>
      </c>
      <c r="T43" s="83" t="s">
        <v>296</v>
      </c>
      <c r="U43" s="33" t="s">
        <v>342</v>
      </c>
    </row>
    <row r="44" spans="14:21" x14ac:dyDescent="0.25">
      <c r="N44" s="33" t="s">
        <v>300</v>
      </c>
      <c r="O44" s="33" t="s">
        <v>314</v>
      </c>
      <c r="P44">
        <v>100</v>
      </c>
      <c r="Q44">
        <v>100</v>
      </c>
      <c r="R44">
        <v>100</v>
      </c>
      <c r="S44" s="83" t="s">
        <v>295</v>
      </c>
      <c r="T44" s="83" t="s">
        <v>296</v>
      </c>
      <c r="U44" s="88" t="s">
        <v>346</v>
      </c>
    </row>
    <row r="45" spans="14:21" x14ac:dyDescent="0.25">
      <c r="N45" s="33" t="s">
        <v>302</v>
      </c>
      <c r="O45" s="33" t="s">
        <v>301</v>
      </c>
      <c r="P45">
        <f>_C4</f>
        <v>13</v>
      </c>
      <c r="Q45">
        <f>_C4</f>
        <v>13</v>
      </c>
      <c r="R45">
        <f>_C4</f>
        <v>13</v>
      </c>
      <c r="S45" s="83" t="s">
        <v>295</v>
      </c>
      <c r="T45" s="83" t="s">
        <v>308</v>
      </c>
      <c r="U45" s="33" t="s">
        <v>441</v>
      </c>
    </row>
    <row r="46" spans="14:21" x14ac:dyDescent="0.25">
      <c r="N46" s="33" t="s">
        <v>304</v>
      </c>
      <c r="O46" s="33" t="s">
        <v>305</v>
      </c>
      <c r="P46">
        <v>100</v>
      </c>
      <c r="Q46">
        <v>100</v>
      </c>
      <c r="R46">
        <v>100</v>
      </c>
      <c r="S46" s="83" t="s">
        <v>295</v>
      </c>
      <c r="T46" s="83" t="s">
        <v>296</v>
      </c>
      <c r="U46" s="33" t="s">
        <v>343</v>
      </c>
    </row>
    <row r="47" spans="14:21" x14ac:dyDescent="0.25">
      <c r="N47" s="33" t="s">
        <v>306</v>
      </c>
      <c r="O47" s="33" t="s">
        <v>303</v>
      </c>
      <c r="P47">
        <v>100</v>
      </c>
      <c r="Q47">
        <v>100</v>
      </c>
      <c r="R47">
        <v>100</v>
      </c>
      <c r="S47" s="83" t="s">
        <v>295</v>
      </c>
      <c r="T47" s="83" t="s">
        <v>296</v>
      </c>
      <c r="U47" s="33" t="s">
        <v>343</v>
      </c>
    </row>
    <row r="48" spans="14:21" ht="13.8" hidden="1" x14ac:dyDescent="0.3">
      <c r="N48" s="33" t="s">
        <v>309</v>
      </c>
      <c r="O48" s="33" t="s">
        <v>307</v>
      </c>
      <c r="P48">
        <v>1</v>
      </c>
      <c r="Q48">
        <v>1</v>
      </c>
      <c r="R48">
        <v>1</v>
      </c>
      <c r="S48" s="83" t="s">
        <v>299</v>
      </c>
      <c r="T48" s="83" t="s">
        <v>308</v>
      </c>
      <c r="U48" s="33" t="s">
        <v>344</v>
      </c>
    </row>
    <row r="49" spans="14:21" hidden="1" x14ac:dyDescent="0.25">
      <c r="N49" s="33" t="s">
        <v>311</v>
      </c>
      <c r="O49" s="33" t="s">
        <v>349</v>
      </c>
      <c r="P49">
        <v>10</v>
      </c>
      <c r="Q49">
        <v>10</v>
      </c>
      <c r="R49">
        <v>10</v>
      </c>
      <c r="S49" s="83" t="s">
        <v>295</v>
      </c>
      <c r="T49" s="83" t="s">
        <v>350</v>
      </c>
      <c r="U49" s="33" t="s">
        <v>343</v>
      </c>
    </row>
    <row r="50" spans="14:21" hidden="1" x14ac:dyDescent="0.25">
      <c r="N50" s="33" t="s">
        <v>313</v>
      </c>
      <c r="O50" s="33" t="s">
        <v>349</v>
      </c>
      <c r="P50">
        <v>10</v>
      </c>
      <c r="Q50">
        <v>10</v>
      </c>
      <c r="R50">
        <v>10</v>
      </c>
      <c r="S50" s="83" t="s">
        <v>295</v>
      </c>
      <c r="T50" s="83" t="s">
        <v>350</v>
      </c>
      <c r="U50" s="33" t="s">
        <v>343</v>
      </c>
    </row>
    <row r="51" spans="14:21" ht="13.8" x14ac:dyDescent="0.3">
      <c r="N51" s="33" t="s">
        <v>351</v>
      </c>
      <c r="O51" s="33" t="s">
        <v>310</v>
      </c>
      <c r="P51">
        <v>10</v>
      </c>
      <c r="Q51">
        <v>10</v>
      </c>
      <c r="R51">
        <v>10</v>
      </c>
      <c r="S51" s="83" t="s">
        <v>295</v>
      </c>
      <c r="T51" s="83" t="s">
        <v>308</v>
      </c>
      <c r="U51" s="33" t="s">
        <v>345</v>
      </c>
    </row>
    <row r="52" spans="14:21" hidden="1" x14ac:dyDescent="0.25">
      <c r="N52" s="33" t="s">
        <v>352</v>
      </c>
      <c r="O52" s="33" t="s">
        <v>312</v>
      </c>
      <c r="P52">
        <v>10</v>
      </c>
      <c r="Q52">
        <v>10</v>
      </c>
      <c r="R52">
        <v>10</v>
      </c>
      <c r="S52" s="83" t="s">
        <v>295</v>
      </c>
      <c r="T52" s="83" t="s">
        <v>308</v>
      </c>
      <c r="U52" s="88" t="s">
        <v>353</v>
      </c>
    </row>
    <row r="53" spans="14:21" ht="14.4" x14ac:dyDescent="0.3">
      <c r="N53" s="33" t="s">
        <v>315</v>
      </c>
      <c r="O53" s="33" t="s">
        <v>316</v>
      </c>
      <c r="P53">
        <v>27</v>
      </c>
      <c r="Q53">
        <v>27</v>
      </c>
      <c r="R53">
        <v>27</v>
      </c>
      <c r="S53" s="83" t="s">
        <v>299</v>
      </c>
      <c r="T53" s="84" t="s">
        <v>317</v>
      </c>
      <c r="U53" s="33" t="s">
        <v>347</v>
      </c>
    </row>
    <row r="54" spans="14:21" ht="14.4" x14ac:dyDescent="0.3">
      <c r="N54" s="33" t="s">
        <v>318</v>
      </c>
      <c r="O54" s="33" t="s">
        <v>319</v>
      </c>
      <c r="P54">
        <f>_R2</f>
        <v>1</v>
      </c>
      <c r="Q54">
        <f>_R2</f>
        <v>1</v>
      </c>
      <c r="R54">
        <f>_R2</f>
        <v>1</v>
      </c>
      <c r="S54" s="83" t="s">
        <v>320</v>
      </c>
      <c r="T54" s="84" t="s">
        <v>317</v>
      </c>
      <c r="U54" s="89" t="s">
        <v>348</v>
      </c>
    </row>
    <row r="55" spans="14:21" ht="14.4" hidden="1" x14ac:dyDescent="0.3">
      <c r="N55" s="33" t="s">
        <v>321</v>
      </c>
      <c r="O55" s="33" t="s">
        <v>322</v>
      </c>
      <c r="P55">
        <f>_R3</f>
        <v>2</v>
      </c>
      <c r="Q55">
        <f>_R3</f>
        <v>2</v>
      </c>
      <c r="R55">
        <f>_R3</f>
        <v>2</v>
      </c>
      <c r="S55" s="83" t="s">
        <v>320</v>
      </c>
      <c r="T55" s="84" t="s">
        <v>324</v>
      </c>
      <c r="U55" s="89" t="s">
        <v>348</v>
      </c>
    </row>
    <row r="56" spans="14:21" ht="14.4" hidden="1" x14ac:dyDescent="0.3">
      <c r="N56" s="33" t="s">
        <v>277</v>
      </c>
      <c r="O56" s="33" t="s">
        <v>323</v>
      </c>
      <c r="P56">
        <f>_R4</f>
        <v>10</v>
      </c>
      <c r="Q56">
        <f>_R4</f>
        <v>10</v>
      </c>
      <c r="R56">
        <f>_R4</f>
        <v>10</v>
      </c>
      <c r="S56" s="85" t="str">
        <f>"+/-" &amp; TEXT(Mantis*100,"##") &amp; "%"</f>
        <v>+/-5%</v>
      </c>
      <c r="T56" s="84" t="s">
        <v>324</v>
      </c>
    </row>
    <row r="57" spans="14:21" ht="14.4" hidden="1" x14ac:dyDescent="0.3">
      <c r="N57" s="33" t="s">
        <v>267</v>
      </c>
      <c r="O57" s="33" t="s">
        <v>323</v>
      </c>
      <c r="P57">
        <f>_R5</f>
        <v>15</v>
      </c>
      <c r="Q57">
        <f>_R5</f>
        <v>15</v>
      </c>
      <c r="R57">
        <f>_R5</f>
        <v>15</v>
      </c>
      <c r="S57" s="85" t="str">
        <f>"+/-" &amp; TEXT(Mantis*100,"##") &amp; "%"</f>
        <v>+/-5%</v>
      </c>
      <c r="T57" s="84" t="s">
        <v>324</v>
      </c>
    </row>
    <row r="58" spans="14:21" x14ac:dyDescent="0.25">
      <c r="N58" s="33" t="s">
        <v>325</v>
      </c>
      <c r="O58" s="33" t="s">
        <v>233</v>
      </c>
      <c r="P58">
        <f>Fan_in_resistor</f>
        <v>37.9</v>
      </c>
      <c r="Q58">
        <f>Fan_in_resistor</f>
        <v>37.9</v>
      </c>
      <c r="R58">
        <f>Fan_in_resistor</f>
        <v>37.9</v>
      </c>
      <c r="S58" s="83" t="s">
        <v>326</v>
      </c>
      <c r="T58" s="83" t="s">
        <v>324</v>
      </c>
    </row>
    <row r="59" spans="14:21" x14ac:dyDescent="0.25">
      <c r="N59" s="33" t="s">
        <v>327</v>
      </c>
      <c r="O59" s="33" t="s">
        <v>328</v>
      </c>
      <c r="P59" s="86">
        <f>_L1</f>
        <v>100</v>
      </c>
      <c r="Q59" s="86">
        <f>_L1</f>
        <v>100</v>
      </c>
      <c r="R59" s="86">
        <f>_L1</f>
        <v>100</v>
      </c>
      <c r="S59" s="83" t="s">
        <v>295</v>
      </c>
      <c r="T59" s="83" t="s">
        <v>106</v>
      </c>
    </row>
    <row r="60" spans="14:21" hidden="1" x14ac:dyDescent="0.25">
      <c r="N60" s="33" t="s">
        <v>329</v>
      </c>
      <c r="O60" s="33" t="s">
        <v>330</v>
      </c>
      <c r="P60" s="86">
        <f>_L2</f>
        <v>120</v>
      </c>
      <c r="Q60" s="86">
        <f>_L2</f>
        <v>120</v>
      </c>
      <c r="R60" s="86">
        <f>_L2</f>
        <v>120</v>
      </c>
      <c r="S60" s="83" t="s">
        <v>295</v>
      </c>
      <c r="T60" s="83" t="s">
        <v>106</v>
      </c>
    </row>
    <row r="61" spans="14:21" x14ac:dyDescent="0.25">
      <c r="N61" s="33" t="s">
        <v>331</v>
      </c>
      <c r="O61" s="33" t="s">
        <v>335</v>
      </c>
      <c r="P61" s="87" t="s">
        <v>336</v>
      </c>
      <c r="Q61" s="87" t="s">
        <v>336</v>
      </c>
      <c r="R61" s="147" t="s">
        <v>336</v>
      </c>
      <c r="S61" s="83"/>
      <c r="T61" s="83"/>
    </row>
    <row r="62" spans="14:21" x14ac:dyDescent="0.25">
      <c r="N62" s="33" t="s">
        <v>334</v>
      </c>
      <c r="O62" s="33" t="s">
        <v>332</v>
      </c>
      <c r="P62" s="33" t="s">
        <v>333</v>
      </c>
      <c r="Q62" s="87" t="s">
        <v>333</v>
      </c>
      <c r="R62" s="87" t="s">
        <v>442</v>
      </c>
      <c r="S62" s="33"/>
      <c r="T62" s="33"/>
      <c r="U62" s="33"/>
    </row>
    <row r="63" spans="14:21" hidden="1" x14ac:dyDescent="0.25">
      <c r="N63" s="33" t="s">
        <v>337</v>
      </c>
      <c r="O63" s="33" t="s">
        <v>338</v>
      </c>
      <c r="P63" s="33">
        <v>16</v>
      </c>
      <c r="Q63" s="33">
        <v>16</v>
      </c>
      <c r="R63" s="87">
        <v>16</v>
      </c>
      <c r="S63" s="33" t="s">
        <v>339</v>
      </c>
      <c r="T63" s="33" t="s">
        <v>340</v>
      </c>
      <c r="U63" s="33" t="s">
        <v>443</v>
      </c>
    </row>
    <row r="74" spans="1:4" x14ac:dyDescent="0.25">
      <c r="A74" s="33" t="s">
        <v>286</v>
      </c>
      <c r="B74" s="33" t="s">
        <v>287</v>
      </c>
      <c r="C74" s="33" t="s">
        <v>289</v>
      </c>
      <c r="D74">
        <f>VLOOKUP(Basic!C33,Table2[],2,FALSE)</f>
        <v>1</v>
      </c>
    </row>
    <row r="75" spans="1:4" x14ac:dyDescent="0.25">
      <c r="A75" s="33" t="s">
        <v>205</v>
      </c>
      <c r="B75">
        <v>1</v>
      </c>
    </row>
    <row r="76" spans="1:4" x14ac:dyDescent="0.25">
      <c r="A76" s="33" t="s">
        <v>280</v>
      </c>
      <c r="B76">
        <v>2</v>
      </c>
    </row>
    <row r="77" spans="1:4" x14ac:dyDescent="0.25">
      <c r="A77" s="33" t="s">
        <v>281</v>
      </c>
      <c r="B77">
        <v>3</v>
      </c>
    </row>
    <row r="78" spans="1:4" x14ac:dyDescent="0.25">
      <c r="A78" s="33" t="s">
        <v>282</v>
      </c>
      <c r="B78">
        <v>4</v>
      </c>
    </row>
    <row r="79" spans="1:4" x14ac:dyDescent="0.25">
      <c r="A79" s="33" t="s">
        <v>283</v>
      </c>
      <c r="B79">
        <v>5</v>
      </c>
    </row>
    <row r="80" spans="1:4" x14ac:dyDescent="0.25">
      <c r="A80" s="33" t="s">
        <v>284</v>
      </c>
      <c r="B80">
        <v>6</v>
      </c>
    </row>
    <row r="81" spans="1:2" x14ac:dyDescent="0.25">
      <c r="A81" s="33" t="s">
        <v>285</v>
      </c>
      <c r="B81">
        <v>7</v>
      </c>
    </row>
  </sheetData>
  <sheetProtection algorithmName="SHA-512" hashValue="Adx07xmpogwYhZP1uQyFgO+4Kwp4OVmmH0xN+FHGAdLVvB++J389bpybIifO9SQ++jORXbZ0wI08eORBQqmBsQ==" saltValue="PLUysFeo/Wb9cMENmdprEA==" spinCount="100000" sheet="1" objects="1" scenarios="1" selectLockedCells="1" selectUnlockedCells="1"/>
  <pageMargins left="0.7" right="0.7" top="0.75" bottom="0.75" header="0.3" footer="0.3"/>
  <pageSetup paperSize="9" scale="78" orientation="portrait" r:id="rId1"/>
  <headerFooter>
    <oddHeader>&amp;L&amp;D&amp;CSchematic and BOM&amp;RON Semiconductor</oddHeader>
    <oddFooter>&amp;C&amp;P/&amp;N</oddFooter>
  </headerFooter>
  <drawing r:id="rId2"/>
  <tableParts count="2">
    <tablePart r:id="rId3"/>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J197"/>
  <sheetViews>
    <sheetView topLeftCell="A161" workbookViewId="0">
      <selection activeCell="J181" sqref="J181:J191"/>
    </sheetView>
  </sheetViews>
  <sheetFormatPr defaultRowHeight="14.4" x14ac:dyDescent="0.3"/>
  <cols>
    <col min="1" max="6" width="18.6640625" style="120" customWidth="1"/>
    <col min="7" max="256" width="9.109375" style="120"/>
    <col min="257" max="262" width="18.6640625" style="120" customWidth="1"/>
    <col min="263" max="512" width="9.109375" style="120"/>
    <col min="513" max="518" width="18.6640625" style="120" customWidth="1"/>
    <col min="519" max="768" width="9.109375" style="120"/>
    <col min="769" max="774" width="18.6640625" style="120" customWidth="1"/>
    <col min="775" max="1024" width="9.109375" style="120"/>
    <col min="1025" max="1030" width="18.6640625" style="120" customWidth="1"/>
    <col min="1031" max="1280" width="9.109375" style="120"/>
    <col min="1281" max="1286" width="18.6640625" style="120" customWidth="1"/>
    <col min="1287" max="1536" width="9.109375" style="120"/>
    <col min="1537" max="1542" width="18.6640625" style="120" customWidth="1"/>
    <col min="1543" max="1792" width="9.109375" style="120"/>
    <col min="1793" max="1798" width="18.6640625" style="120" customWidth="1"/>
    <col min="1799" max="2048" width="9.109375" style="120"/>
    <col min="2049" max="2054" width="18.6640625" style="120" customWidth="1"/>
    <col min="2055" max="2304" width="9.109375" style="120"/>
    <col min="2305" max="2310" width="18.6640625" style="120" customWidth="1"/>
    <col min="2311" max="2560" width="9.109375" style="120"/>
    <col min="2561" max="2566" width="18.6640625" style="120" customWidth="1"/>
    <col min="2567" max="2816" width="9.109375" style="120"/>
    <col min="2817" max="2822" width="18.6640625" style="120" customWidth="1"/>
    <col min="2823" max="3072" width="9.109375" style="120"/>
    <col min="3073" max="3078" width="18.6640625" style="120" customWidth="1"/>
    <col min="3079" max="3328" width="9.109375" style="120"/>
    <col min="3329" max="3334" width="18.6640625" style="120" customWidth="1"/>
    <col min="3335" max="3584" width="9.109375" style="120"/>
    <col min="3585" max="3590" width="18.6640625" style="120" customWidth="1"/>
    <col min="3591" max="3840" width="9.109375" style="120"/>
    <col min="3841" max="3846" width="18.6640625" style="120" customWidth="1"/>
    <col min="3847" max="4096" width="9.109375" style="120"/>
    <col min="4097" max="4102" width="18.6640625" style="120" customWidth="1"/>
    <col min="4103" max="4352" width="9.109375" style="120"/>
    <col min="4353" max="4358" width="18.6640625" style="120" customWidth="1"/>
    <col min="4359" max="4608" width="9.109375" style="120"/>
    <col min="4609" max="4614" width="18.6640625" style="120" customWidth="1"/>
    <col min="4615" max="4864" width="9.109375" style="120"/>
    <col min="4865" max="4870" width="18.6640625" style="120" customWidth="1"/>
    <col min="4871" max="5120" width="9.109375" style="120"/>
    <col min="5121" max="5126" width="18.6640625" style="120" customWidth="1"/>
    <col min="5127" max="5376" width="9.109375" style="120"/>
    <col min="5377" max="5382" width="18.6640625" style="120" customWidth="1"/>
    <col min="5383" max="5632" width="9.109375" style="120"/>
    <col min="5633" max="5638" width="18.6640625" style="120" customWidth="1"/>
    <col min="5639" max="5888" width="9.109375" style="120"/>
    <col min="5889" max="5894" width="18.6640625" style="120" customWidth="1"/>
    <col min="5895" max="6144" width="9.109375" style="120"/>
    <col min="6145" max="6150" width="18.6640625" style="120" customWidth="1"/>
    <col min="6151" max="6400" width="9.109375" style="120"/>
    <col min="6401" max="6406" width="18.6640625" style="120" customWidth="1"/>
    <col min="6407" max="6656" width="9.109375" style="120"/>
    <col min="6657" max="6662" width="18.6640625" style="120" customWidth="1"/>
    <col min="6663" max="6912" width="9.109375" style="120"/>
    <col min="6913" max="6918" width="18.6640625" style="120" customWidth="1"/>
    <col min="6919" max="7168" width="9.109375" style="120"/>
    <col min="7169" max="7174" width="18.6640625" style="120" customWidth="1"/>
    <col min="7175" max="7424" width="9.109375" style="120"/>
    <col min="7425" max="7430" width="18.6640625" style="120" customWidth="1"/>
    <col min="7431" max="7680" width="9.109375" style="120"/>
    <col min="7681" max="7686" width="18.6640625" style="120" customWidth="1"/>
    <col min="7687" max="7936" width="9.109375" style="120"/>
    <col min="7937" max="7942" width="18.6640625" style="120" customWidth="1"/>
    <col min="7943" max="8192" width="9.109375" style="120"/>
    <col min="8193" max="8198" width="18.6640625" style="120" customWidth="1"/>
    <col min="8199" max="8448" width="9.109375" style="120"/>
    <col min="8449" max="8454" width="18.6640625" style="120" customWidth="1"/>
    <col min="8455" max="8704" width="9.109375" style="120"/>
    <col min="8705" max="8710" width="18.6640625" style="120" customWidth="1"/>
    <col min="8711" max="8960" width="9.109375" style="120"/>
    <col min="8961" max="8966" width="18.6640625" style="120" customWidth="1"/>
    <col min="8967" max="9216" width="9.109375" style="120"/>
    <col min="9217" max="9222" width="18.6640625" style="120" customWidth="1"/>
    <col min="9223" max="9472" width="9.109375" style="120"/>
    <col min="9473" max="9478" width="18.6640625" style="120" customWidth="1"/>
    <col min="9479" max="9728" width="9.109375" style="120"/>
    <col min="9729" max="9734" width="18.6640625" style="120" customWidth="1"/>
    <col min="9735" max="9984" width="9.109375" style="120"/>
    <col min="9985" max="9990" width="18.6640625" style="120" customWidth="1"/>
    <col min="9991" max="10240" width="9.109375" style="120"/>
    <col min="10241" max="10246" width="18.6640625" style="120" customWidth="1"/>
    <col min="10247" max="10496" width="9.109375" style="120"/>
    <col min="10497" max="10502" width="18.6640625" style="120" customWidth="1"/>
    <col min="10503" max="10752" width="9.109375" style="120"/>
    <col min="10753" max="10758" width="18.6640625" style="120" customWidth="1"/>
    <col min="10759" max="11008" width="9.109375" style="120"/>
    <col min="11009" max="11014" width="18.6640625" style="120" customWidth="1"/>
    <col min="11015" max="11264" width="9.109375" style="120"/>
    <col min="11265" max="11270" width="18.6640625" style="120" customWidth="1"/>
    <col min="11271" max="11520" width="9.109375" style="120"/>
    <col min="11521" max="11526" width="18.6640625" style="120" customWidth="1"/>
    <col min="11527" max="11776" width="9.109375" style="120"/>
    <col min="11777" max="11782" width="18.6640625" style="120" customWidth="1"/>
    <col min="11783" max="12032" width="9.109375" style="120"/>
    <col min="12033" max="12038" width="18.6640625" style="120" customWidth="1"/>
    <col min="12039" max="12288" width="9.109375" style="120"/>
    <col min="12289" max="12294" width="18.6640625" style="120" customWidth="1"/>
    <col min="12295" max="12544" width="9.109375" style="120"/>
    <col min="12545" max="12550" width="18.6640625" style="120" customWidth="1"/>
    <col min="12551" max="12800" width="9.109375" style="120"/>
    <col min="12801" max="12806" width="18.6640625" style="120" customWidth="1"/>
    <col min="12807" max="13056" width="9.109375" style="120"/>
    <col min="13057" max="13062" width="18.6640625" style="120" customWidth="1"/>
    <col min="13063" max="13312" width="9.109375" style="120"/>
    <col min="13313" max="13318" width="18.6640625" style="120" customWidth="1"/>
    <col min="13319" max="13568" width="9.109375" style="120"/>
    <col min="13569" max="13574" width="18.6640625" style="120" customWidth="1"/>
    <col min="13575" max="13824" width="9.109375" style="120"/>
    <col min="13825" max="13830" width="18.6640625" style="120" customWidth="1"/>
    <col min="13831" max="14080" width="9.109375" style="120"/>
    <col min="14081" max="14086" width="18.6640625" style="120" customWidth="1"/>
    <col min="14087" max="14336" width="9.109375" style="120"/>
    <col min="14337" max="14342" width="18.6640625" style="120" customWidth="1"/>
    <col min="14343" max="14592" width="9.109375" style="120"/>
    <col min="14593" max="14598" width="18.6640625" style="120" customWidth="1"/>
    <col min="14599" max="14848" width="9.109375" style="120"/>
    <col min="14849" max="14854" width="18.6640625" style="120" customWidth="1"/>
    <col min="14855" max="15104" width="9.109375" style="120"/>
    <col min="15105" max="15110" width="18.6640625" style="120" customWidth="1"/>
    <col min="15111" max="15360" width="9.109375" style="120"/>
    <col min="15361" max="15366" width="18.6640625" style="120" customWidth="1"/>
    <col min="15367" max="15616" width="9.109375" style="120"/>
    <col min="15617" max="15622" width="18.6640625" style="120" customWidth="1"/>
    <col min="15623" max="15872" width="9.109375" style="120"/>
    <col min="15873" max="15878" width="18.6640625" style="120" customWidth="1"/>
    <col min="15879" max="16128" width="9.109375" style="120"/>
    <col min="16129" max="16134" width="18.6640625" style="120" customWidth="1"/>
    <col min="16135" max="16384" width="9.109375" style="120"/>
  </cols>
  <sheetData>
    <row r="1" spans="1:10" ht="21" x14ac:dyDescent="0.4">
      <c r="A1" s="177" t="s">
        <v>375</v>
      </c>
      <c r="B1" s="177"/>
      <c r="C1" s="177"/>
      <c r="D1" s="177"/>
      <c r="E1" s="177"/>
      <c r="F1" s="177"/>
    </row>
    <row r="3" spans="1:10" x14ac:dyDescent="0.3">
      <c r="A3" s="121">
        <v>0.2</v>
      </c>
      <c r="B3" s="121">
        <v>0.1</v>
      </c>
      <c r="C3" s="121">
        <v>0.05</v>
      </c>
      <c r="D3" s="121">
        <v>0.02</v>
      </c>
      <c r="E3" s="121">
        <v>0.01</v>
      </c>
      <c r="F3" s="122" t="s">
        <v>376</v>
      </c>
      <c r="J3" s="133" t="s">
        <v>384</v>
      </c>
    </row>
    <row r="4" spans="1:10" x14ac:dyDescent="0.3">
      <c r="A4" s="123" t="s">
        <v>377</v>
      </c>
      <c r="B4" s="123" t="s">
        <v>378</v>
      </c>
      <c r="C4" s="123" t="s">
        <v>379</v>
      </c>
      <c r="D4" s="123" t="s">
        <v>380</v>
      </c>
      <c r="E4" s="123" t="s">
        <v>381</v>
      </c>
      <c r="F4" s="123" t="s">
        <v>382</v>
      </c>
    </row>
    <row r="5" spans="1:10" x14ac:dyDescent="0.3">
      <c r="A5" s="176">
        <v>100</v>
      </c>
      <c r="B5" s="174">
        <v>100</v>
      </c>
      <c r="C5" s="175">
        <v>100</v>
      </c>
      <c r="D5" s="173">
        <v>100</v>
      </c>
      <c r="E5" s="172">
        <v>100</v>
      </c>
      <c r="F5" s="124">
        <v>100</v>
      </c>
      <c r="J5" s="120">
        <f>F5/10</f>
        <v>10</v>
      </c>
    </row>
    <row r="6" spans="1:10" x14ac:dyDescent="0.3">
      <c r="A6" s="176"/>
      <c r="B6" s="174"/>
      <c r="C6" s="175"/>
      <c r="D6" s="173"/>
      <c r="E6" s="172"/>
      <c r="F6" s="124">
        <v>101</v>
      </c>
      <c r="J6" s="120">
        <f t="shared" ref="J6:J69" si="0">F6/10</f>
        <v>10.1</v>
      </c>
    </row>
    <row r="7" spans="1:10" x14ac:dyDescent="0.3">
      <c r="A7" s="176"/>
      <c r="B7" s="174"/>
      <c r="C7" s="175"/>
      <c r="D7" s="173"/>
      <c r="E7" s="172">
        <v>102</v>
      </c>
      <c r="F7" s="124">
        <v>102</v>
      </c>
      <c r="J7" s="120">
        <f t="shared" si="0"/>
        <v>10.199999999999999</v>
      </c>
    </row>
    <row r="8" spans="1:10" x14ac:dyDescent="0.3">
      <c r="A8" s="176"/>
      <c r="B8" s="174"/>
      <c r="C8" s="175"/>
      <c r="D8" s="173"/>
      <c r="E8" s="172"/>
      <c r="F8" s="124">
        <v>104</v>
      </c>
      <c r="J8" s="120">
        <f t="shared" si="0"/>
        <v>10.4</v>
      </c>
    </row>
    <row r="9" spans="1:10" x14ac:dyDescent="0.3">
      <c r="A9" s="176"/>
      <c r="B9" s="174"/>
      <c r="C9" s="175"/>
      <c r="D9" s="173">
        <v>105</v>
      </c>
      <c r="E9" s="172">
        <v>105</v>
      </c>
      <c r="F9" s="124">
        <v>105</v>
      </c>
      <c r="J9" s="120">
        <f t="shared" si="0"/>
        <v>10.5</v>
      </c>
    </row>
    <row r="10" spans="1:10" x14ac:dyDescent="0.3">
      <c r="A10" s="176"/>
      <c r="B10" s="174"/>
      <c r="C10" s="175"/>
      <c r="D10" s="173"/>
      <c r="E10" s="172"/>
      <c r="F10" s="124">
        <v>106</v>
      </c>
      <c r="I10" s="125"/>
      <c r="J10" s="120">
        <f t="shared" si="0"/>
        <v>10.6</v>
      </c>
    </row>
    <row r="11" spans="1:10" x14ac:dyDescent="0.3">
      <c r="A11" s="176"/>
      <c r="B11" s="174"/>
      <c r="C11" s="175"/>
      <c r="D11" s="173"/>
      <c r="E11" s="172">
        <v>107</v>
      </c>
      <c r="F11" s="124">
        <v>107</v>
      </c>
      <c r="J11" s="120">
        <f t="shared" si="0"/>
        <v>10.7</v>
      </c>
    </row>
    <row r="12" spans="1:10" x14ac:dyDescent="0.3">
      <c r="A12" s="176"/>
      <c r="B12" s="174"/>
      <c r="C12" s="175"/>
      <c r="D12" s="173"/>
      <c r="E12" s="172"/>
      <c r="F12" s="124">
        <v>109</v>
      </c>
      <c r="J12" s="120">
        <f t="shared" si="0"/>
        <v>10.9</v>
      </c>
    </row>
    <row r="13" spans="1:10" x14ac:dyDescent="0.3">
      <c r="A13" s="176"/>
      <c r="B13" s="174"/>
      <c r="C13" s="175">
        <v>110</v>
      </c>
      <c r="D13" s="173">
        <v>110</v>
      </c>
      <c r="E13" s="172">
        <v>110</v>
      </c>
      <c r="F13" s="124">
        <v>110</v>
      </c>
      <c r="J13" s="120">
        <f t="shared" si="0"/>
        <v>11</v>
      </c>
    </row>
    <row r="14" spans="1:10" x14ac:dyDescent="0.3">
      <c r="A14" s="176"/>
      <c r="B14" s="174"/>
      <c r="C14" s="175"/>
      <c r="D14" s="173"/>
      <c r="E14" s="172"/>
      <c r="F14" s="124">
        <v>111</v>
      </c>
      <c r="J14" s="120">
        <f t="shared" si="0"/>
        <v>11.1</v>
      </c>
    </row>
    <row r="15" spans="1:10" x14ac:dyDescent="0.3">
      <c r="A15" s="176"/>
      <c r="B15" s="174"/>
      <c r="C15" s="175"/>
      <c r="D15" s="173"/>
      <c r="E15" s="172">
        <v>113</v>
      </c>
      <c r="F15" s="124">
        <v>113</v>
      </c>
      <c r="J15" s="120">
        <f t="shared" si="0"/>
        <v>11.3</v>
      </c>
    </row>
    <row r="16" spans="1:10" x14ac:dyDescent="0.3">
      <c r="A16" s="176"/>
      <c r="B16" s="174"/>
      <c r="C16" s="175"/>
      <c r="D16" s="173"/>
      <c r="E16" s="172"/>
      <c r="F16" s="124">
        <v>114</v>
      </c>
      <c r="J16" s="120">
        <f t="shared" si="0"/>
        <v>11.4</v>
      </c>
    </row>
    <row r="17" spans="1:10" x14ac:dyDescent="0.3">
      <c r="A17" s="176"/>
      <c r="B17" s="174"/>
      <c r="C17" s="175"/>
      <c r="D17" s="173">
        <v>115</v>
      </c>
      <c r="E17" s="172">
        <v>115</v>
      </c>
      <c r="F17" s="124">
        <v>115</v>
      </c>
      <c r="J17" s="120">
        <f t="shared" si="0"/>
        <v>11.5</v>
      </c>
    </row>
    <row r="18" spans="1:10" x14ac:dyDescent="0.3">
      <c r="A18" s="176"/>
      <c r="B18" s="174"/>
      <c r="C18" s="175"/>
      <c r="D18" s="173"/>
      <c r="E18" s="172"/>
      <c r="F18" s="124">
        <v>117</v>
      </c>
      <c r="J18" s="120">
        <f t="shared" si="0"/>
        <v>11.7</v>
      </c>
    </row>
    <row r="19" spans="1:10" x14ac:dyDescent="0.3">
      <c r="A19" s="176"/>
      <c r="B19" s="174"/>
      <c r="C19" s="175"/>
      <c r="D19" s="173"/>
      <c r="E19" s="172">
        <v>118</v>
      </c>
      <c r="F19" s="124">
        <v>118</v>
      </c>
      <c r="J19" s="120">
        <f t="shared" si="0"/>
        <v>11.8</v>
      </c>
    </row>
    <row r="20" spans="1:10" x14ac:dyDescent="0.3">
      <c r="A20" s="176"/>
      <c r="B20" s="174"/>
      <c r="C20" s="175"/>
      <c r="D20" s="173"/>
      <c r="E20" s="172"/>
      <c r="F20" s="124">
        <v>120</v>
      </c>
      <c r="J20" s="120">
        <f t="shared" si="0"/>
        <v>12</v>
      </c>
    </row>
    <row r="21" spans="1:10" x14ac:dyDescent="0.3">
      <c r="A21" s="176"/>
      <c r="B21" s="174">
        <v>120</v>
      </c>
      <c r="C21" s="175">
        <v>120</v>
      </c>
      <c r="D21" s="173">
        <v>121</v>
      </c>
      <c r="E21" s="172">
        <v>121</v>
      </c>
      <c r="F21" s="124">
        <v>121</v>
      </c>
      <c r="J21" s="120">
        <f t="shared" si="0"/>
        <v>12.1</v>
      </c>
    </row>
    <row r="22" spans="1:10" x14ac:dyDescent="0.3">
      <c r="A22" s="176"/>
      <c r="B22" s="174"/>
      <c r="C22" s="175"/>
      <c r="D22" s="173"/>
      <c r="E22" s="172"/>
      <c r="F22" s="124">
        <v>123</v>
      </c>
      <c r="J22" s="120">
        <f t="shared" si="0"/>
        <v>12.3</v>
      </c>
    </row>
    <row r="23" spans="1:10" x14ac:dyDescent="0.3">
      <c r="A23" s="176"/>
      <c r="B23" s="174"/>
      <c r="C23" s="175"/>
      <c r="D23" s="173"/>
      <c r="E23" s="172">
        <v>124</v>
      </c>
      <c r="F23" s="124">
        <v>124</v>
      </c>
      <c r="J23" s="120">
        <f t="shared" si="0"/>
        <v>12.4</v>
      </c>
    </row>
    <row r="24" spans="1:10" x14ac:dyDescent="0.3">
      <c r="A24" s="176"/>
      <c r="B24" s="174"/>
      <c r="C24" s="175"/>
      <c r="D24" s="173"/>
      <c r="E24" s="172"/>
      <c r="F24" s="124">
        <v>126</v>
      </c>
      <c r="J24" s="120">
        <f t="shared" si="0"/>
        <v>12.6</v>
      </c>
    </row>
    <row r="25" spans="1:10" x14ac:dyDescent="0.3">
      <c r="A25" s="176"/>
      <c r="B25" s="174"/>
      <c r="C25" s="175"/>
      <c r="D25" s="173">
        <v>127</v>
      </c>
      <c r="E25" s="172">
        <v>127</v>
      </c>
      <c r="F25" s="124">
        <v>127</v>
      </c>
      <c r="J25" s="120">
        <f t="shared" si="0"/>
        <v>12.7</v>
      </c>
    </row>
    <row r="26" spans="1:10" x14ac:dyDescent="0.3">
      <c r="A26" s="176"/>
      <c r="B26" s="174"/>
      <c r="C26" s="175"/>
      <c r="D26" s="173"/>
      <c r="E26" s="172"/>
      <c r="F26" s="124">
        <v>129</v>
      </c>
      <c r="J26" s="120">
        <f t="shared" si="0"/>
        <v>12.9</v>
      </c>
    </row>
    <row r="27" spans="1:10" x14ac:dyDescent="0.3">
      <c r="A27" s="176"/>
      <c r="B27" s="174"/>
      <c r="C27" s="175"/>
      <c r="D27" s="173"/>
      <c r="E27" s="172">
        <v>130</v>
      </c>
      <c r="F27" s="124">
        <v>130</v>
      </c>
      <c r="J27" s="120">
        <f t="shared" si="0"/>
        <v>13</v>
      </c>
    </row>
    <row r="28" spans="1:10" x14ac:dyDescent="0.3">
      <c r="A28" s="176"/>
      <c r="B28" s="174"/>
      <c r="C28" s="175"/>
      <c r="D28" s="173"/>
      <c r="E28" s="172"/>
      <c r="F28" s="124">
        <v>132</v>
      </c>
      <c r="J28" s="120">
        <f t="shared" si="0"/>
        <v>13.2</v>
      </c>
    </row>
    <row r="29" spans="1:10" x14ac:dyDescent="0.3">
      <c r="A29" s="176"/>
      <c r="B29" s="174"/>
      <c r="C29" s="175">
        <v>130</v>
      </c>
      <c r="D29" s="173">
        <v>133</v>
      </c>
      <c r="E29" s="172">
        <v>133</v>
      </c>
      <c r="F29" s="124">
        <v>133</v>
      </c>
      <c r="J29" s="120">
        <f t="shared" si="0"/>
        <v>13.3</v>
      </c>
    </row>
    <row r="30" spans="1:10" x14ac:dyDescent="0.3">
      <c r="A30" s="176"/>
      <c r="B30" s="174"/>
      <c r="C30" s="175"/>
      <c r="D30" s="173"/>
      <c r="E30" s="172"/>
      <c r="F30" s="124">
        <v>135</v>
      </c>
      <c r="J30" s="120">
        <f t="shared" si="0"/>
        <v>13.5</v>
      </c>
    </row>
    <row r="31" spans="1:10" x14ac:dyDescent="0.3">
      <c r="A31" s="176"/>
      <c r="B31" s="174"/>
      <c r="C31" s="175"/>
      <c r="D31" s="173"/>
      <c r="E31" s="172">
        <v>137</v>
      </c>
      <c r="F31" s="124">
        <v>137</v>
      </c>
      <c r="J31" s="120">
        <f t="shared" si="0"/>
        <v>13.7</v>
      </c>
    </row>
    <row r="32" spans="1:10" x14ac:dyDescent="0.3">
      <c r="A32" s="176"/>
      <c r="B32" s="174"/>
      <c r="C32" s="175"/>
      <c r="D32" s="173"/>
      <c r="E32" s="172"/>
      <c r="F32" s="124">
        <v>138</v>
      </c>
      <c r="J32" s="120">
        <f t="shared" si="0"/>
        <v>13.8</v>
      </c>
    </row>
    <row r="33" spans="1:10" x14ac:dyDescent="0.3">
      <c r="A33" s="176"/>
      <c r="B33" s="174"/>
      <c r="C33" s="175"/>
      <c r="D33" s="173">
        <v>140</v>
      </c>
      <c r="E33" s="172">
        <v>140</v>
      </c>
      <c r="F33" s="124">
        <v>140</v>
      </c>
      <c r="J33" s="120">
        <f t="shared" si="0"/>
        <v>14</v>
      </c>
    </row>
    <row r="34" spans="1:10" x14ac:dyDescent="0.3">
      <c r="A34" s="176"/>
      <c r="B34" s="174"/>
      <c r="C34" s="175"/>
      <c r="D34" s="173"/>
      <c r="E34" s="172"/>
      <c r="F34" s="124">
        <v>142</v>
      </c>
      <c r="J34" s="120">
        <f t="shared" si="0"/>
        <v>14.2</v>
      </c>
    </row>
    <row r="35" spans="1:10" x14ac:dyDescent="0.3">
      <c r="A35" s="176"/>
      <c r="B35" s="174"/>
      <c r="C35" s="175"/>
      <c r="D35" s="173"/>
      <c r="E35" s="172">
        <v>143</v>
      </c>
      <c r="F35" s="124">
        <v>143</v>
      </c>
      <c r="J35" s="120">
        <f t="shared" si="0"/>
        <v>14.3</v>
      </c>
    </row>
    <row r="36" spans="1:10" x14ac:dyDescent="0.3">
      <c r="A36" s="176"/>
      <c r="B36" s="174"/>
      <c r="C36" s="175"/>
      <c r="D36" s="173"/>
      <c r="E36" s="172"/>
      <c r="F36" s="124">
        <v>145</v>
      </c>
      <c r="J36" s="120">
        <f t="shared" si="0"/>
        <v>14.5</v>
      </c>
    </row>
    <row r="37" spans="1:10" x14ac:dyDescent="0.3">
      <c r="A37" s="176">
        <v>150</v>
      </c>
      <c r="B37" s="174">
        <v>150</v>
      </c>
      <c r="C37" s="175">
        <v>150</v>
      </c>
      <c r="D37" s="173">
        <v>147</v>
      </c>
      <c r="E37" s="172">
        <v>147</v>
      </c>
      <c r="F37" s="124">
        <v>147</v>
      </c>
      <c r="J37" s="120">
        <f t="shared" si="0"/>
        <v>14.7</v>
      </c>
    </row>
    <row r="38" spans="1:10" x14ac:dyDescent="0.3">
      <c r="A38" s="176"/>
      <c r="B38" s="174"/>
      <c r="C38" s="175"/>
      <c r="D38" s="173"/>
      <c r="E38" s="172"/>
      <c r="F38" s="124">
        <v>149</v>
      </c>
      <c r="J38" s="120">
        <f t="shared" si="0"/>
        <v>14.9</v>
      </c>
    </row>
    <row r="39" spans="1:10" x14ac:dyDescent="0.3">
      <c r="A39" s="176"/>
      <c r="B39" s="174"/>
      <c r="C39" s="175"/>
      <c r="D39" s="173"/>
      <c r="E39" s="172">
        <v>150</v>
      </c>
      <c r="F39" s="124">
        <v>150</v>
      </c>
      <c r="J39" s="120">
        <f t="shared" si="0"/>
        <v>15</v>
      </c>
    </row>
    <row r="40" spans="1:10" x14ac:dyDescent="0.3">
      <c r="A40" s="176"/>
      <c r="B40" s="174"/>
      <c r="C40" s="175"/>
      <c r="D40" s="173"/>
      <c r="E40" s="172"/>
      <c r="F40" s="124">
        <v>152</v>
      </c>
      <c r="J40" s="120">
        <f t="shared" si="0"/>
        <v>15.2</v>
      </c>
    </row>
    <row r="41" spans="1:10" x14ac:dyDescent="0.3">
      <c r="A41" s="176"/>
      <c r="B41" s="174"/>
      <c r="C41" s="175"/>
      <c r="D41" s="173">
        <v>154</v>
      </c>
      <c r="E41" s="172">
        <v>154</v>
      </c>
      <c r="F41" s="124">
        <v>154</v>
      </c>
      <c r="J41" s="120">
        <f t="shared" si="0"/>
        <v>15.4</v>
      </c>
    </row>
    <row r="42" spans="1:10" x14ac:dyDescent="0.3">
      <c r="A42" s="176"/>
      <c r="B42" s="174"/>
      <c r="C42" s="175"/>
      <c r="D42" s="173"/>
      <c r="E42" s="172"/>
      <c r="F42" s="124">
        <v>156</v>
      </c>
      <c r="J42" s="120">
        <f t="shared" si="0"/>
        <v>15.6</v>
      </c>
    </row>
    <row r="43" spans="1:10" x14ac:dyDescent="0.3">
      <c r="A43" s="176"/>
      <c r="B43" s="174"/>
      <c r="C43" s="175"/>
      <c r="D43" s="173"/>
      <c r="E43" s="172">
        <v>158</v>
      </c>
      <c r="F43" s="124">
        <v>158</v>
      </c>
      <c r="J43" s="120">
        <f t="shared" si="0"/>
        <v>15.8</v>
      </c>
    </row>
    <row r="44" spans="1:10" x14ac:dyDescent="0.3">
      <c r="A44" s="176"/>
      <c r="B44" s="174"/>
      <c r="C44" s="175"/>
      <c r="D44" s="173"/>
      <c r="E44" s="172"/>
      <c r="F44" s="124">
        <v>160</v>
      </c>
      <c r="J44" s="120">
        <f t="shared" si="0"/>
        <v>16</v>
      </c>
    </row>
    <row r="45" spans="1:10" x14ac:dyDescent="0.3">
      <c r="A45" s="176"/>
      <c r="B45" s="174"/>
      <c r="C45" s="175">
        <v>160</v>
      </c>
      <c r="D45" s="173">
        <v>162</v>
      </c>
      <c r="E45" s="172">
        <v>162</v>
      </c>
      <c r="F45" s="124">
        <v>162</v>
      </c>
      <c r="J45" s="120">
        <f t="shared" si="0"/>
        <v>16.2</v>
      </c>
    </row>
    <row r="46" spans="1:10" x14ac:dyDescent="0.3">
      <c r="A46" s="176"/>
      <c r="B46" s="174"/>
      <c r="C46" s="175"/>
      <c r="D46" s="173"/>
      <c r="E46" s="172"/>
      <c r="F46" s="124">
        <v>164</v>
      </c>
      <c r="J46" s="120">
        <f t="shared" si="0"/>
        <v>16.399999999999999</v>
      </c>
    </row>
    <row r="47" spans="1:10" x14ac:dyDescent="0.3">
      <c r="A47" s="176"/>
      <c r="B47" s="174"/>
      <c r="C47" s="175"/>
      <c r="D47" s="173"/>
      <c r="E47" s="172">
        <v>165</v>
      </c>
      <c r="F47" s="124">
        <v>165</v>
      </c>
      <c r="J47" s="120">
        <f t="shared" si="0"/>
        <v>16.5</v>
      </c>
    </row>
    <row r="48" spans="1:10" x14ac:dyDescent="0.3">
      <c r="A48" s="176"/>
      <c r="B48" s="174"/>
      <c r="C48" s="175"/>
      <c r="D48" s="173"/>
      <c r="E48" s="172"/>
      <c r="F48" s="124">
        <v>167</v>
      </c>
      <c r="J48" s="120">
        <f t="shared" si="0"/>
        <v>16.7</v>
      </c>
    </row>
    <row r="49" spans="1:10" x14ac:dyDescent="0.3">
      <c r="A49" s="176"/>
      <c r="B49" s="174"/>
      <c r="C49" s="175"/>
      <c r="D49" s="173">
        <v>169</v>
      </c>
      <c r="E49" s="172">
        <v>169</v>
      </c>
      <c r="F49" s="124">
        <v>169</v>
      </c>
      <c r="J49" s="120">
        <f t="shared" si="0"/>
        <v>16.899999999999999</v>
      </c>
    </row>
    <row r="50" spans="1:10" x14ac:dyDescent="0.3">
      <c r="A50" s="176"/>
      <c r="B50" s="174"/>
      <c r="C50" s="175"/>
      <c r="D50" s="173"/>
      <c r="E50" s="172"/>
      <c r="F50" s="124">
        <v>172</v>
      </c>
      <c r="J50" s="120">
        <f t="shared" si="0"/>
        <v>17.2</v>
      </c>
    </row>
    <row r="51" spans="1:10" x14ac:dyDescent="0.3">
      <c r="A51" s="176"/>
      <c r="B51" s="174"/>
      <c r="C51" s="175"/>
      <c r="D51" s="173"/>
      <c r="E51" s="172">
        <v>174</v>
      </c>
      <c r="F51" s="124">
        <v>174</v>
      </c>
      <c r="J51" s="120">
        <f t="shared" si="0"/>
        <v>17.399999999999999</v>
      </c>
    </row>
    <row r="52" spans="1:10" x14ac:dyDescent="0.3">
      <c r="A52" s="176"/>
      <c r="B52" s="174"/>
      <c r="C52" s="175"/>
      <c r="D52" s="173"/>
      <c r="E52" s="172"/>
      <c r="F52" s="124">
        <v>176</v>
      </c>
      <c r="J52" s="120">
        <f t="shared" si="0"/>
        <v>17.600000000000001</v>
      </c>
    </row>
    <row r="53" spans="1:10" x14ac:dyDescent="0.3">
      <c r="A53" s="176"/>
      <c r="B53" s="174">
        <v>180</v>
      </c>
      <c r="C53" s="175">
        <v>180</v>
      </c>
      <c r="D53" s="173">
        <v>178</v>
      </c>
      <c r="E53" s="172">
        <v>178</v>
      </c>
      <c r="F53" s="124">
        <v>178</v>
      </c>
      <c r="J53" s="120">
        <f t="shared" si="0"/>
        <v>17.8</v>
      </c>
    </row>
    <row r="54" spans="1:10" x14ac:dyDescent="0.3">
      <c r="A54" s="176"/>
      <c r="B54" s="174"/>
      <c r="C54" s="175"/>
      <c r="D54" s="173"/>
      <c r="E54" s="172"/>
      <c r="F54" s="124">
        <v>180</v>
      </c>
      <c r="J54" s="120">
        <f t="shared" si="0"/>
        <v>18</v>
      </c>
    </row>
    <row r="55" spans="1:10" x14ac:dyDescent="0.3">
      <c r="A55" s="176"/>
      <c r="B55" s="174"/>
      <c r="C55" s="175"/>
      <c r="D55" s="173"/>
      <c r="E55" s="172">
        <v>182</v>
      </c>
      <c r="F55" s="124">
        <v>182</v>
      </c>
      <c r="J55" s="120">
        <f t="shared" si="0"/>
        <v>18.2</v>
      </c>
    </row>
    <row r="56" spans="1:10" x14ac:dyDescent="0.3">
      <c r="A56" s="176"/>
      <c r="B56" s="174"/>
      <c r="C56" s="175"/>
      <c r="D56" s="173"/>
      <c r="E56" s="172"/>
      <c r="F56" s="124">
        <v>184</v>
      </c>
      <c r="J56" s="120">
        <f t="shared" si="0"/>
        <v>18.399999999999999</v>
      </c>
    </row>
    <row r="57" spans="1:10" x14ac:dyDescent="0.3">
      <c r="A57" s="176"/>
      <c r="B57" s="174"/>
      <c r="C57" s="175"/>
      <c r="D57" s="173">
        <v>187</v>
      </c>
      <c r="E57" s="172">
        <v>187</v>
      </c>
      <c r="F57" s="124">
        <v>187</v>
      </c>
      <c r="J57" s="120">
        <f t="shared" si="0"/>
        <v>18.7</v>
      </c>
    </row>
    <row r="58" spans="1:10" x14ac:dyDescent="0.3">
      <c r="A58" s="176"/>
      <c r="B58" s="174"/>
      <c r="C58" s="175"/>
      <c r="D58" s="173"/>
      <c r="E58" s="172"/>
      <c r="F58" s="124">
        <v>189</v>
      </c>
      <c r="J58" s="120">
        <f t="shared" si="0"/>
        <v>18.899999999999999</v>
      </c>
    </row>
    <row r="59" spans="1:10" x14ac:dyDescent="0.3">
      <c r="A59" s="176"/>
      <c r="B59" s="174"/>
      <c r="C59" s="175"/>
      <c r="D59" s="173"/>
      <c r="E59" s="172">
        <v>191</v>
      </c>
      <c r="F59" s="124">
        <v>191</v>
      </c>
      <c r="J59" s="120">
        <f t="shared" si="0"/>
        <v>19.100000000000001</v>
      </c>
    </row>
    <row r="60" spans="1:10" x14ac:dyDescent="0.3">
      <c r="A60" s="176"/>
      <c r="B60" s="174"/>
      <c r="C60" s="175"/>
      <c r="D60" s="173"/>
      <c r="E60" s="172"/>
      <c r="F60" s="124">
        <v>193</v>
      </c>
      <c r="J60" s="120">
        <f t="shared" si="0"/>
        <v>19.3</v>
      </c>
    </row>
    <row r="61" spans="1:10" x14ac:dyDescent="0.3">
      <c r="A61" s="176"/>
      <c r="B61" s="174"/>
      <c r="C61" s="175">
        <v>200</v>
      </c>
      <c r="D61" s="173">
        <v>196</v>
      </c>
      <c r="E61" s="172">
        <v>196</v>
      </c>
      <c r="F61" s="124">
        <v>196</v>
      </c>
      <c r="J61" s="120">
        <f t="shared" si="0"/>
        <v>19.600000000000001</v>
      </c>
    </row>
    <row r="62" spans="1:10" x14ac:dyDescent="0.3">
      <c r="A62" s="176"/>
      <c r="B62" s="174"/>
      <c r="C62" s="175"/>
      <c r="D62" s="173"/>
      <c r="E62" s="172"/>
      <c r="F62" s="124">
        <v>198</v>
      </c>
      <c r="J62" s="120">
        <f t="shared" si="0"/>
        <v>19.8</v>
      </c>
    </row>
    <row r="63" spans="1:10" x14ac:dyDescent="0.3">
      <c r="A63" s="176"/>
      <c r="B63" s="174"/>
      <c r="C63" s="175"/>
      <c r="D63" s="173"/>
      <c r="E63" s="172">
        <v>200</v>
      </c>
      <c r="F63" s="124">
        <v>200</v>
      </c>
      <c r="J63" s="120">
        <f t="shared" si="0"/>
        <v>20</v>
      </c>
    </row>
    <row r="64" spans="1:10" x14ac:dyDescent="0.3">
      <c r="A64" s="176"/>
      <c r="B64" s="174"/>
      <c r="C64" s="175"/>
      <c r="D64" s="173"/>
      <c r="E64" s="172"/>
      <c r="F64" s="124">
        <v>203</v>
      </c>
      <c r="J64" s="120">
        <f t="shared" si="0"/>
        <v>20.3</v>
      </c>
    </row>
    <row r="65" spans="1:10" x14ac:dyDescent="0.3">
      <c r="A65" s="176"/>
      <c r="B65" s="174"/>
      <c r="C65" s="175"/>
      <c r="D65" s="173">
        <v>205</v>
      </c>
      <c r="E65" s="172">
        <v>205</v>
      </c>
      <c r="F65" s="124">
        <v>205</v>
      </c>
      <c r="J65" s="120">
        <f t="shared" si="0"/>
        <v>20.5</v>
      </c>
    </row>
    <row r="66" spans="1:10" x14ac:dyDescent="0.3">
      <c r="A66" s="176"/>
      <c r="B66" s="174"/>
      <c r="C66" s="175"/>
      <c r="D66" s="173"/>
      <c r="E66" s="172"/>
      <c r="F66" s="124">
        <v>208</v>
      </c>
      <c r="J66" s="120">
        <f t="shared" si="0"/>
        <v>20.8</v>
      </c>
    </row>
    <row r="67" spans="1:10" x14ac:dyDescent="0.3">
      <c r="A67" s="176"/>
      <c r="B67" s="174"/>
      <c r="C67" s="175"/>
      <c r="D67" s="173"/>
      <c r="E67" s="172">
        <v>210</v>
      </c>
      <c r="F67" s="124">
        <v>210</v>
      </c>
      <c r="J67" s="120">
        <f t="shared" si="0"/>
        <v>21</v>
      </c>
    </row>
    <row r="68" spans="1:10" x14ac:dyDescent="0.3">
      <c r="A68" s="176"/>
      <c r="B68" s="174"/>
      <c r="C68" s="175"/>
      <c r="D68" s="173"/>
      <c r="E68" s="172"/>
      <c r="F68" s="124">
        <v>213</v>
      </c>
      <c r="J68" s="120">
        <f t="shared" si="0"/>
        <v>21.3</v>
      </c>
    </row>
    <row r="69" spans="1:10" x14ac:dyDescent="0.3">
      <c r="A69" s="176">
        <v>220</v>
      </c>
      <c r="B69" s="174">
        <v>220</v>
      </c>
      <c r="C69" s="175">
        <v>220</v>
      </c>
      <c r="D69" s="173">
        <v>215</v>
      </c>
      <c r="E69" s="172">
        <v>215</v>
      </c>
      <c r="F69" s="124">
        <v>215</v>
      </c>
      <c r="J69" s="120">
        <f t="shared" si="0"/>
        <v>21.5</v>
      </c>
    </row>
    <row r="70" spans="1:10" x14ac:dyDescent="0.3">
      <c r="A70" s="176"/>
      <c r="B70" s="174"/>
      <c r="C70" s="175"/>
      <c r="D70" s="173"/>
      <c r="E70" s="172"/>
      <c r="F70" s="124">
        <v>218</v>
      </c>
      <c r="J70" s="120">
        <f t="shared" ref="J70:J133" si="1">F70/10</f>
        <v>21.8</v>
      </c>
    </row>
    <row r="71" spans="1:10" x14ac:dyDescent="0.3">
      <c r="A71" s="176"/>
      <c r="B71" s="174"/>
      <c r="C71" s="175"/>
      <c r="D71" s="173"/>
      <c r="E71" s="172">
        <v>221</v>
      </c>
      <c r="F71" s="124">
        <v>221</v>
      </c>
      <c r="J71" s="120">
        <f t="shared" si="1"/>
        <v>22.1</v>
      </c>
    </row>
    <row r="72" spans="1:10" x14ac:dyDescent="0.3">
      <c r="A72" s="176"/>
      <c r="B72" s="174"/>
      <c r="C72" s="175"/>
      <c r="D72" s="173"/>
      <c r="E72" s="172"/>
      <c r="F72" s="124">
        <v>223</v>
      </c>
      <c r="J72" s="120">
        <f t="shared" si="1"/>
        <v>22.3</v>
      </c>
    </row>
    <row r="73" spans="1:10" x14ac:dyDescent="0.3">
      <c r="A73" s="176"/>
      <c r="B73" s="174"/>
      <c r="C73" s="175"/>
      <c r="D73" s="173">
        <v>226</v>
      </c>
      <c r="E73" s="172">
        <v>226</v>
      </c>
      <c r="F73" s="124">
        <v>226</v>
      </c>
      <c r="J73" s="120">
        <f t="shared" si="1"/>
        <v>22.6</v>
      </c>
    </row>
    <row r="74" spans="1:10" x14ac:dyDescent="0.3">
      <c r="A74" s="176"/>
      <c r="B74" s="174"/>
      <c r="C74" s="175"/>
      <c r="D74" s="173"/>
      <c r="E74" s="172"/>
      <c r="F74" s="124">
        <v>229</v>
      </c>
      <c r="J74" s="120">
        <f t="shared" si="1"/>
        <v>22.9</v>
      </c>
    </row>
    <row r="75" spans="1:10" x14ac:dyDescent="0.3">
      <c r="A75" s="176"/>
      <c r="B75" s="174"/>
      <c r="C75" s="175"/>
      <c r="D75" s="173"/>
      <c r="E75" s="172">
        <v>232</v>
      </c>
      <c r="F75" s="124">
        <v>232</v>
      </c>
      <c r="J75" s="120">
        <f t="shared" si="1"/>
        <v>23.2</v>
      </c>
    </row>
    <row r="76" spans="1:10" x14ac:dyDescent="0.3">
      <c r="A76" s="176"/>
      <c r="B76" s="174"/>
      <c r="C76" s="175"/>
      <c r="D76" s="173"/>
      <c r="E76" s="172"/>
      <c r="F76" s="124">
        <v>234</v>
      </c>
      <c r="J76" s="120">
        <f t="shared" si="1"/>
        <v>23.4</v>
      </c>
    </row>
    <row r="77" spans="1:10" x14ac:dyDescent="0.3">
      <c r="A77" s="176"/>
      <c r="B77" s="174"/>
      <c r="C77" s="175">
        <v>240</v>
      </c>
      <c r="D77" s="173">
        <v>237</v>
      </c>
      <c r="E77" s="172">
        <v>237</v>
      </c>
      <c r="F77" s="124">
        <v>237</v>
      </c>
      <c r="J77" s="120">
        <f t="shared" si="1"/>
        <v>23.7</v>
      </c>
    </row>
    <row r="78" spans="1:10" x14ac:dyDescent="0.3">
      <c r="A78" s="176"/>
      <c r="B78" s="174"/>
      <c r="C78" s="175"/>
      <c r="D78" s="173"/>
      <c r="E78" s="172"/>
      <c r="F78" s="124">
        <v>240</v>
      </c>
      <c r="J78" s="120">
        <f t="shared" si="1"/>
        <v>24</v>
      </c>
    </row>
    <row r="79" spans="1:10" x14ac:dyDescent="0.3">
      <c r="A79" s="176"/>
      <c r="B79" s="174"/>
      <c r="C79" s="175"/>
      <c r="D79" s="173"/>
      <c r="E79" s="172">
        <v>243</v>
      </c>
      <c r="F79" s="124">
        <v>243</v>
      </c>
      <c r="J79" s="120">
        <f t="shared" si="1"/>
        <v>24.3</v>
      </c>
    </row>
    <row r="80" spans="1:10" x14ac:dyDescent="0.3">
      <c r="A80" s="176"/>
      <c r="B80" s="174"/>
      <c r="C80" s="175"/>
      <c r="D80" s="173"/>
      <c r="E80" s="172"/>
      <c r="F80" s="124">
        <v>246</v>
      </c>
      <c r="J80" s="120">
        <f t="shared" si="1"/>
        <v>24.6</v>
      </c>
    </row>
    <row r="81" spans="1:10" x14ac:dyDescent="0.3">
      <c r="A81" s="176"/>
      <c r="B81" s="174"/>
      <c r="C81" s="175"/>
      <c r="D81" s="173">
        <v>249</v>
      </c>
      <c r="E81" s="172">
        <v>249</v>
      </c>
      <c r="F81" s="124">
        <v>249</v>
      </c>
      <c r="J81" s="120">
        <f t="shared" si="1"/>
        <v>24.9</v>
      </c>
    </row>
    <row r="82" spans="1:10" x14ac:dyDescent="0.3">
      <c r="A82" s="176"/>
      <c r="B82" s="174"/>
      <c r="C82" s="175"/>
      <c r="D82" s="173"/>
      <c r="E82" s="172"/>
      <c r="F82" s="124">
        <v>252</v>
      </c>
      <c r="J82" s="120">
        <f t="shared" si="1"/>
        <v>25.2</v>
      </c>
    </row>
    <row r="83" spans="1:10" x14ac:dyDescent="0.3">
      <c r="A83" s="176"/>
      <c r="B83" s="174"/>
      <c r="C83" s="175"/>
      <c r="D83" s="173"/>
      <c r="E83" s="172">
        <v>255</v>
      </c>
      <c r="F83" s="124">
        <v>255</v>
      </c>
      <c r="J83" s="120">
        <f t="shared" si="1"/>
        <v>25.5</v>
      </c>
    </row>
    <row r="84" spans="1:10" x14ac:dyDescent="0.3">
      <c r="A84" s="176"/>
      <c r="B84" s="174"/>
      <c r="C84" s="175"/>
      <c r="D84" s="173"/>
      <c r="E84" s="172"/>
      <c r="F84" s="124">
        <v>258</v>
      </c>
      <c r="J84" s="120">
        <f t="shared" si="1"/>
        <v>25.8</v>
      </c>
    </row>
    <row r="85" spans="1:10" x14ac:dyDescent="0.3">
      <c r="A85" s="176"/>
      <c r="B85" s="174">
        <v>270</v>
      </c>
      <c r="C85" s="175">
        <v>270</v>
      </c>
      <c r="D85" s="173">
        <v>261</v>
      </c>
      <c r="E85" s="172">
        <v>261</v>
      </c>
      <c r="F85" s="124">
        <v>261</v>
      </c>
      <c r="J85" s="120">
        <f t="shared" si="1"/>
        <v>26.1</v>
      </c>
    </row>
    <row r="86" spans="1:10" x14ac:dyDescent="0.3">
      <c r="A86" s="176"/>
      <c r="B86" s="174"/>
      <c r="C86" s="175"/>
      <c r="D86" s="173"/>
      <c r="E86" s="172"/>
      <c r="F86" s="124">
        <v>264</v>
      </c>
      <c r="J86" s="120">
        <f t="shared" si="1"/>
        <v>26.4</v>
      </c>
    </row>
    <row r="87" spans="1:10" x14ac:dyDescent="0.3">
      <c r="A87" s="176"/>
      <c r="B87" s="174"/>
      <c r="C87" s="175"/>
      <c r="D87" s="173"/>
      <c r="E87" s="172">
        <v>267</v>
      </c>
      <c r="F87" s="124">
        <v>267</v>
      </c>
      <c r="J87" s="120">
        <f t="shared" si="1"/>
        <v>26.7</v>
      </c>
    </row>
    <row r="88" spans="1:10" x14ac:dyDescent="0.3">
      <c r="A88" s="176"/>
      <c r="B88" s="174"/>
      <c r="C88" s="175"/>
      <c r="D88" s="173"/>
      <c r="E88" s="172"/>
      <c r="F88" s="124">
        <v>271</v>
      </c>
      <c r="J88" s="120">
        <f t="shared" si="1"/>
        <v>27.1</v>
      </c>
    </row>
    <row r="89" spans="1:10" x14ac:dyDescent="0.3">
      <c r="A89" s="176"/>
      <c r="B89" s="174"/>
      <c r="C89" s="175"/>
      <c r="D89" s="173">
        <v>274</v>
      </c>
      <c r="E89" s="172">
        <v>274</v>
      </c>
      <c r="F89" s="124">
        <v>274</v>
      </c>
      <c r="J89" s="120">
        <f t="shared" si="1"/>
        <v>27.4</v>
      </c>
    </row>
    <row r="90" spans="1:10" x14ac:dyDescent="0.3">
      <c r="A90" s="176"/>
      <c r="B90" s="174"/>
      <c r="C90" s="175"/>
      <c r="D90" s="173"/>
      <c r="E90" s="172"/>
      <c r="F90" s="124">
        <v>277</v>
      </c>
      <c r="J90" s="120">
        <f t="shared" si="1"/>
        <v>27.7</v>
      </c>
    </row>
    <row r="91" spans="1:10" x14ac:dyDescent="0.3">
      <c r="A91" s="176"/>
      <c r="B91" s="174"/>
      <c r="C91" s="175"/>
      <c r="D91" s="173"/>
      <c r="E91" s="172">
        <v>280</v>
      </c>
      <c r="F91" s="124">
        <v>280</v>
      </c>
      <c r="J91" s="120">
        <f t="shared" si="1"/>
        <v>28</v>
      </c>
    </row>
    <row r="92" spans="1:10" x14ac:dyDescent="0.3">
      <c r="A92" s="176"/>
      <c r="B92" s="174"/>
      <c r="C92" s="175"/>
      <c r="D92" s="173"/>
      <c r="E92" s="172"/>
      <c r="F92" s="124">
        <v>284</v>
      </c>
      <c r="J92" s="120">
        <f t="shared" si="1"/>
        <v>28.4</v>
      </c>
    </row>
    <row r="93" spans="1:10" x14ac:dyDescent="0.3">
      <c r="A93" s="176"/>
      <c r="B93" s="174"/>
      <c r="C93" s="175">
        <v>300</v>
      </c>
      <c r="D93" s="173">
        <v>287</v>
      </c>
      <c r="E93" s="172">
        <v>287</v>
      </c>
      <c r="F93" s="124">
        <v>287</v>
      </c>
      <c r="J93" s="120">
        <f t="shared" si="1"/>
        <v>28.7</v>
      </c>
    </row>
    <row r="94" spans="1:10" x14ac:dyDescent="0.3">
      <c r="A94" s="176"/>
      <c r="B94" s="174"/>
      <c r="C94" s="175"/>
      <c r="D94" s="173"/>
      <c r="E94" s="172"/>
      <c r="F94" s="124">
        <v>291</v>
      </c>
      <c r="J94" s="120">
        <f t="shared" si="1"/>
        <v>29.1</v>
      </c>
    </row>
    <row r="95" spans="1:10" x14ac:dyDescent="0.3">
      <c r="A95" s="176"/>
      <c r="B95" s="174"/>
      <c r="C95" s="175"/>
      <c r="D95" s="173"/>
      <c r="E95" s="172">
        <v>294</v>
      </c>
      <c r="F95" s="124">
        <v>294</v>
      </c>
      <c r="J95" s="120">
        <f t="shared" si="1"/>
        <v>29.4</v>
      </c>
    </row>
    <row r="96" spans="1:10" x14ac:dyDescent="0.3">
      <c r="A96" s="176"/>
      <c r="B96" s="174"/>
      <c r="C96" s="175"/>
      <c r="D96" s="173"/>
      <c r="E96" s="172"/>
      <c r="F96" s="124">
        <v>298</v>
      </c>
      <c r="J96" s="120">
        <f t="shared" si="1"/>
        <v>29.8</v>
      </c>
    </row>
    <row r="97" spans="1:10" x14ac:dyDescent="0.3">
      <c r="A97" s="176"/>
      <c r="B97" s="174"/>
      <c r="C97" s="175"/>
      <c r="D97" s="173">
        <v>301</v>
      </c>
      <c r="E97" s="172">
        <v>301</v>
      </c>
      <c r="F97" s="124">
        <v>301</v>
      </c>
      <c r="J97" s="120">
        <f t="shared" si="1"/>
        <v>30.1</v>
      </c>
    </row>
    <row r="98" spans="1:10" x14ac:dyDescent="0.3">
      <c r="A98" s="176"/>
      <c r="B98" s="174"/>
      <c r="C98" s="175"/>
      <c r="D98" s="173"/>
      <c r="E98" s="172"/>
      <c r="F98" s="124">
        <v>305</v>
      </c>
      <c r="J98" s="120">
        <f t="shared" si="1"/>
        <v>30.5</v>
      </c>
    </row>
    <row r="99" spans="1:10" x14ac:dyDescent="0.3">
      <c r="A99" s="176"/>
      <c r="B99" s="174"/>
      <c r="C99" s="175"/>
      <c r="D99" s="173"/>
      <c r="E99" s="172">
        <v>309</v>
      </c>
      <c r="F99" s="124">
        <v>309</v>
      </c>
      <c r="J99" s="120">
        <f t="shared" si="1"/>
        <v>30.9</v>
      </c>
    </row>
    <row r="100" spans="1:10" x14ac:dyDescent="0.3">
      <c r="A100" s="176"/>
      <c r="B100" s="174"/>
      <c r="C100" s="175"/>
      <c r="D100" s="173"/>
      <c r="E100" s="172"/>
      <c r="F100" s="124">
        <v>312</v>
      </c>
      <c r="J100" s="120">
        <f t="shared" si="1"/>
        <v>31.2</v>
      </c>
    </row>
    <row r="101" spans="1:10" x14ac:dyDescent="0.3">
      <c r="A101" s="176">
        <v>330</v>
      </c>
      <c r="B101" s="174">
        <v>330</v>
      </c>
      <c r="C101" s="175">
        <v>330</v>
      </c>
      <c r="D101" s="173">
        <v>316</v>
      </c>
      <c r="E101" s="172">
        <v>316</v>
      </c>
      <c r="F101" s="124">
        <v>316</v>
      </c>
      <c r="J101" s="120">
        <f t="shared" si="1"/>
        <v>31.6</v>
      </c>
    </row>
    <row r="102" spans="1:10" x14ac:dyDescent="0.3">
      <c r="A102" s="176"/>
      <c r="B102" s="174"/>
      <c r="C102" s="175"/>
      <c r="D102" s="173"/>
      <c r="E102" s="172"/>
      <c r="F102" s="124">
        <v>320</v>
      </c>
      <c r="J102" s="120">
        <f t="shared" si="1"/>
        <v>32</v>
      </c>
    </row>
    <row r="103" spans="1:10" x14ac:dyDescent="0.3">
      <c r="A103" s="176"/>
      <c r="B103" s="174"/>
      <c r="C103" s="175"/>
      <c r="D103" s="173"/>
      <c r="E103" s="172">
        <v>324</v>
      </c>
      <c r="F103" s="124">
        <v>324</v>
      </c>
      <c r="J103" s="120">
        <f t="shared" si="1"/>
        <v>32.4</v>
      </c>
    </row>
    <row r="104" spans="1:10" x14ac:dyDescent="0.3">
      <c r="A104" s="176"/>
      <c r="B104" s="174"/>
      <c r="C104" s="175"/>
      <c r="D104" s="173"/>
      <c r="E104" s="172"/>
      <c r="F104" s="124">
        <v>328</v>
      </c>
      <c r="J104" s="120">
        <f t="shared" si="1"/>
        <v>32.799999999999997</v>
      </c>
    </row>
    <row r="105" spans="1:10" x14ac:dyDescent="0.3">
      <c r="A105" s="176"/>
      <c r="B105" s="174"/>
      <c r="C105" s="175"/>
      <c r="D105" s="173">
        <v>332</v>
      </c>
      <c r="E105" s="172">
        <v>332</v>
      </c>
      <c r="F105" s="124">
        <v>332</v>
      </c>
      <c r="J105" s="120">
        <f t="shared" si="1"/>
        <v>33.200000000000003</v>
      </c>
    </row>
    <row r="106" spans="1:10" x14ac:dyDescent="0.3">
      <c r="A106" s="176"/>
      <c r="B106" s="174"/>
      <c r="C106" s="175"/>
      <c r="D106" s="173"/>
      <c r="E106" s="172"/>
      <c r="F106" s="124">
        <v>336</v>
      </c>
      <c r="J106" s="120">
        <f t="shared" si="1"/>
        <v>33.6</v>
      </c>
    </row>
    <row r="107" spans="1:10" x14ac:dyDescent="0.3">
      <c r="A107" s="176"/>
      <c r="B107" s="174"/>
      <c r="C107" s="175"/>
      <c r="D107" s="173"/>
      <c r="E107" s="172">
        <v>340</v>
      </c>
      <c r="F107" s="124">
        <v>340</v>
      </c>
      <c r="J107" s="120">
        <f t="shared" si="1"/>
        <v>34</v>
      </c>
    </row>
    <row r="108" spans="1:10" x14ac:dyDescent="0.3">
      <c r="A108" s="176"/>
      <c r="B108" s="174"/>
      <c r="C108" s="175"/>
      <c r="D108" s="173"/>
      <c r="E108" s="172"/>
      <c r="F108" s="124">
        <v>344</v>
      </c>
      <c r="J108" s="120">
        <f t="shared" si="1"/>
        <v>34.4</v>
      </c>
    </row>
    <row r="109" spans="1:10" x14ac:dyDescent="0.3">
      <c r="A109" s="176"/>
      <c r="B109" s="174"/>
      <c r="C109" s="175">
        <v>360</v>
      </c>
      <c r="D109" s="173">
        <v>348</v>
      </c>
      <c r="E109" s="172">
        <v>348</v>
      </c>
      <c r="F109" s="124">
        <v>348</v>
      </c>
      <c r="J109" s="120">
        <f t="shared" si="1"/>
        <v>34.799999999999997</v>
      </c>
    </row>
    <row r="110" spans="1:10" x14ac:dyDescent="0.3">
      <c r="A110" s="176"/>
      <c r="B110" s="174"/>
      <c r="C110" s="175"/>
      <c r="D110" s="173"/>
      <c r="E110" s="172"/>
      <c r="F110" s="124">
        <v>352</v>
      </c>
      <c r="J110" s="120">
        <f t="shared" si="1"/>
        <v>35.200000000000003</v>
      </c>
    </row>
    <row r="111" spans="1:10" x14ac:dyDescent="0.3">
      <c r="A111" s="176"/>
      <c r="B111" s="174"/>
      <c r="C111" s="175"/>
      <c r="D111" s="173"/>
      <c r="E111" s="172">
        <v>357</v>
      </c>
      <c r="F111" s="124">
        <v>357</v>
      </c>
      <c r="J111" s="120">
        <f t="shared" si="1"/>
        <v>35.700000000000003</v>
      </c>
    </row>
    <row r="112" spans="1:10" x14ac:dyDescent="0.3">
      <c r="A112" s="176"/>
      <c r="B112" s="174"/>
      <c r="C112" s="175"/>
      <c r="D112" s="173"/>
      <c r="E112" s="172"/>
      <c r="F112" s="124">
        <v>361</v>
      </c>
      <c r="J112" s="120">
        <f t="shared" si="1"/>
        <v>36.1</v>
      </c>
    </row>
    <row r="113" spans="1:10" x14ac:dyDescent="0.3">
      <c r="A113" s="176"/>
      <c r="B113" s="174"/>
      <c r="C113" s="175"/>
      <c r="D113" s="173">
        <v>365</v>
      </c>
      <c r="E113" s="172">
        <v>365</v>
      </c>
      <c r="F113" s="124">
        <v>365</v>
      </c>
      <c r="J113" s="120">
        <f t="shared" si="1"/>
        <v>36.5</v>
      </c>
    </row>
    <row r="114" spans="1:10" x14ac:dyDescent="0.3">
      <c r="A114" s="176"/>
      <c r="B114" s="174"/>
      <c r="C114" s="175"/>
      <c r="D114" s="173"/>
      <c r="E114" s="172"/>
      <c r="F114" s="124">
        <v>370</v>
      </c>
      <c r="J114" s="120">
        <f t="shared" si="1"/>
        <v>37</v>
      </c>
    </row>
    <row r="115" spans="1:10" x14ac:dyDescent="0.3">
      <c r="A115" s="176"/>
      <c r="B115" s="174"/>
      <c r="C115" s="175"/>
      <c r="D115" s="173"/>
      <c r="E115" s="172">
        <v>374</v>
      </c>
      <c r="F115" s="124">
        <v>374</v>
      </c>
      <c r="J115" s="120">
        <f t="shared" si="1"/>
        <v>37.4</v>
      </c>
    </row>
    <row r="116" spans="1:10" x14ac:dyDescent="0.3">
      <c r="A116" s="176"/>
      <c r="B116" s="174"/>
      <c r="C116" s="175"/>
      <c r="D116" s="173"/>
      <c r="E116" s="172"/>
      <c r="F116" s="124">
        <v>379</v>
      </c>
      <c r="J116" s="120">
        <f t="shared" si="1"/>
        <v>37.9</v>
      </c>
    </row>
    <row r="117" spans="1:10" x14ac:dyDescent="0.3">
      <c r="A117" s="176"/>
      <c r="B117" s="174">
        <v>390</v>
      </c>
      <c r="C117" s="175">
        <v>390</v>
      </c>
      <c r="D117" s="173">
        <v>383</v>
      </c>
      <c r="E117" s="172">
        <v>383</v>
      </c>
      <c r="F117" s="124">
        <v>383</v>
      </c>
      <c r="J117" s="120">
        <f t="shared" si="1"/>
        <v>38.299999999999997</v>
      </c>
    </row>
    <row r="118" spans="1:10" x14ac:dyDescent="0.3">
      <c r="A118" s="176"/>
      <c r="B118" s="174"/>
      <c r="C118" s="175"/>
      <c r="D118" s="173"/>
      <c r="E118" s="172"/>
      <c r="F118" s="124">
        <v>388</v>
      </c>
      <c r="J118" s="120">
        <f t="shared" si="1"/>
        <v>38.799999999999997</v>
      </c>
    </row>
    <row r="119" spans="1:10" x14ac:dyDescent="0.3">
      <c r="A119" s="176"/>
      <c r="B119" s="174"/>
      <c r="C119" s="175"/>
      <c r="D119" s="173"/>
      <c r="E119" s="172">
        <v>392</v>
      </c>
      <c r="F119" s="124">
        <v>392</v>
      </c>
      <c r="J119" s="120">
        <f t="shared" si="1"/>
        <v>39.200000000000003</v>
      </c>
    </row>
    <row r="120" spans="1:10" x14ac:dyDescent="0.3">
      <c r="A120" s="176"/>
      <c r="B120" s="174"/>
      <c r="C120" s="175"/>
      <c r="D120" s="173"/>
      <c r="E120" s="172"/>
      <c r="F120" s="124">
        <v>397</v>
      </c>
      <c r="J120" s="120">
        <f t="shared" si="1"/>
        <v>39.700000000000003</v>
      </c>
    </row>
    <row r="121" spans="1:10" x14ac:dyDescent="0.3">
      <c r="A121" s="176"/>
      <c r="B121" s="174"/>
      <c r="C121" s="175"/>
      <c r="D121" s="173">
        <v>402</v>
      </c>
      <c r="E121" s="172">
        <v>402</v>
      </c>
      <c r="F121" s="124">
        <v>402</v>
      </c>
      <c r="J121" s="120">
        <f t="shared" si="1"/>
        <v>40.200000000000003</v>
      </c>
    </row>
    <row r="122" spans="1:10" x14ac:dyDescent="0.3">
      <c r="A122" s="176"/>
      <c r="B122" s="174"/>
      <c r="C122" s="175"/>
      <c r="D122" s="173"/>
      <c r="E122" s="172"/>
      <c r="F122" s="124">
        <v>407</v>
      </c>
      <c r="J122" s="120">
        <f t="shared" si="1"/>
        <v>40.700000000000003</v>
      </c>
    </row>
    <row r="123" spans="1:10" x14ac:dyDescent="0.3">
      <c r="A123" s="176"/>
      <c r="B123" s="174"/>
      <c r="C123" s="175"/>
      <c r="D123" s="173"/>
      <c r="E123" s="172">
        <v>412</v>
      </c>
      <c r="F123" s="124">
        <v>412</v>
      </c>
      <c r="J123" s="120">
        <f t="shared" si="1"/>
        <v>41.2</v>
      </c>
    </row>
    <row r="124" spans="1:10" x14ac:dyDescent="0.3">
      <c r="A124" s="176"/>
      <c r="B124" s="174"/>
      <c r="C124" s="175"/>
      <c r="D124" s="173"/>
      <c r="E124" s="172"/>
      <c r="F124" s="124">
        <v>417</v>
      </c>
      <c r="J124" s="120">
        <f t="shared" si="1"/>
        <v>41.7</v>
      </c>
    </row>
    <row r="125" spans="1:10" x14ac:dyDescent="0.3">
      <c r="A125" s="176"/>
      <c r="B125" s="174"/>
      <c r="C125" s="175">
        <v>430</v>
      </c>
      <c r="D125" s="173">
        <v>422</v>
      </c>
      <c r="E125" s="172">
        <v>422</v>
      </c>
      <c r="F125" s="124">
        <v>422</v>
      </c>
      <c r="J125" s="120">
        <f t="shared" si="1"/>
        <v>42.2</v>
      </c>
    </row>
    <row r="126" spans="1:10" x14ac:dyDescent="0.3">
      <c r="A126" s="176"/>
      <c r="B126" s="174"/>
      <c r="C126" s="175"/>
      <c r="D126" s="173"/>
      <c r="E126" s="172"/>
      <c r="F126" s="124">
        <v>427</v>
      </c>
      <c r="J126" s="120">
        <f t="shared" si="1"/>
        <v>42.7</v>
      </c>
    </row>
    <row r="127" spans="1:10" x14ac:dyDescent="0.3">
      <c r="A127" s="176"/>
      <c r="B127" s="174"/>
      <c r="C127" s="175"/>
      <c r="D127" s="173"/>
      <c r="E127" s="172">
        <v>432</v>
      </c>
      <c r="F127" s="124">
        <v>432</v>
      </c>
      <c r="J127" s="120">
        <f t="shared" si="1"/>
        <v>43.2</v>
      </c>
    </row>
    <row r="128" spans="1:10" x14ac:dyDescent="0.3">
      <c r="A128" s="176"/>
      <c r="B128" s="174"/>
      <c r="C128" s="175"/>
      <c r="D128" s="173"/>
      <c r="E128" s="172"/>
      <c r="F128" s="124">
        <v>437</v>
      </c>
      <c r="J128" s="120">
        <f t="shared" si="1"/>
        <v>43.7</v>
      </c>
    </row>
    <row r="129" spans="1:10" x14ac:dyDescent="0.3">
      <c r="A129" s="176"/>
      <c r="B129" s="174"/>
      <c r="C129" s="175"/>
      <c r="D129" s="173">
        <v>442</v>
      </c>
      <c r="E129" s="172">
        <v>442</v>
      </c>
      <c r="F129" s="124">
        <v>442</v>
      </c>
      <c r="J129" s="120">
        <f t="shared" si="1"/>
        <v>44.2</v>
      </c>
    </row>
    <row r="130" spans="1:10" x14ac:dyDescent="0.3">
      <c r="A130" s="176"/>
      <c r="B130" s="174"/>
      <c r="C130" s="175"/>
      <c r="D130" s="173"/>
      <c r="E130" s="172"/>
      <c r="F130" s="124">
        <v>448</v>
      </c>
      <c r="J130" s="120">
        <f t="shared" si="1"/>
        <v>44.8</v>
      </c>
    </row>
    <row r="131" spans="1:10" x14ac:dyDescent="0.3">
      <c r="A131" s="176"/>
      <c r="B131" s="174"/>
      <c r="C131" s="175"/>
      <c r="D131" s="173"/>
      <c r="E131" s="172">
        <v>453</v>
      </c>
      <c r="F131" s="124">
        <v>453</v>
      </c>
      <c r="J131" s="120">
        <f t="shared" si="1"/>
        <v>45.3</v>
      </c>
    </row>
    <row r="132" spans="1:10" x14ac:dyDescent="0.3">
      <c r="A132" s="176"/>
      <c r="B132" s="174"/>
      <c r="C132" s="175"/>
      <c r="D132" s="173"/>
      <c r="E132" s="172"/>
      <c r="F132" s="124">
        <v>459</v>
      </c>
      <c r="J132" s="120">
        <f t="shared" si="1"/>
        <v>45.9</v>
      </c>
    </row>
    <row r="133" spans="1:10" x14ac:dyDescent="0.3">
      <c r="A133" s="176">
        <v>470</v>
      </c>
      <c r="B133" s="174">
        <v>470</v>
      </c>
      <c r="C133" s="175">
        <v>470</v>
      </c>
      <c r="D133" s="173">
        <v>464</v>
      </c>
      <c r="E133" s="172">
        <v>464</v>
      </c>
      <c r="F133" s="124">
        <v>464</v>
      </c>
      <c r="J133" s="120">
        <f t="shared" si="1"/>
        <v>46.4</v>
      </c>
    </row>
    <row r="134" spans="1:10" x14ac:dyDescent="0.3">
      <c r="A134" s="176"/>
      <c r="B134" s="174"/>
      <c r="C134" s="175"/>
      <c r="D134" s="173"/>
      <c r="E134" s="172"/>
      <c r="F134" s="124">
        <v>470</v>
      </c>
      <c r="J134" s="120">
        <f t="shared" ref="J134:J197" si="2">F134/10</f>
        <v>47</v>
      </c>
    </row>
    <row r="135" spans="1:10" x14ac:dyDescent="0.3">
      <c r="A135" s="176"/>
      <c r="B135" s="174"/>
      <c r="C135" s="175"/>
      <c r="D135" s="173"/>
      <c r="E135" s="172">
        <v>475</v>
      </c>
      <c r="F135" s="124">
        <v>475</v>
      </c>
      <c r="J135" s="120">
        <f t="shared" si="2"/>
        <v>47.5</v>
      </c>
    </row>
    <row r="136" spans="1:10" x14ac:dyDescent="0.3">
      <c r="A136" s="176"/>
      <c r="B136" s="174"/>
      <c r="C136" s="175"/>
      <c r="D136" s="173"/>
      <c r="E136" s="172"/>
      <c r="F136" s="124">
        <v>481</v>
      </c>
      <c r="J136" s="120">
        <f t="shared" si="2"/>
        <v>48.1</v>
      </c>
    </row>
    <row r="137" spans="1:10" x14ac:dyDescent="0.3">
      <c r="A137" s="176"/>
      <c r="B137" s="174"/>
      <c r="C137" s="175"/>
      <c r="D137" s="173">
        <v>487</v>
      </c>
      <c r="E137" s="172">
        <v>487</v>
      </c>
      <c r="F137" s="124">
        <v>487</v>
      </c>
      <c r="J137" s="120">
        <f t="shared" si="2"/>
        <v>48.7</v>
      </c>
    </row>
    <row r="138" spans="1:10" x14ac:dyDescent="0.3">
      <c r="A138" s="176"/>
      <c r="B138" s="174"/>
      <c r="C138" s="175"/>
      <c r="D138" s="173"/>
      <c r="E138" s="172"/>
      <c r="F138" s="124">
        <v>493</v>
      </c>
      <c r="J138" s="120">
        <f t="shared" si="2"/>
        <v>49.3</v>
      </c>
    </row>
    <row r="139" spans="1:10" x14ac:dyDescent="0.3">
      <c r="A139" s="176"/>
      <c r="B139" s="174"/>
      <c r="C139" s="175"/>
      <c r="D139" s="173"/>
      <c r="E139" s="172">
        <v>499</v>
      </c>
      <c r="F139" s="124">
        <v>499</v>
      </c>
      <c r="J139" s="120">
        <f t="shared" si="2"/>
        <v>49.9</v>
      </c>
    </row>
    <row r="140" spans="1:10" x14ac:dyDescent="0.3">
      <c r="A140" s="176"/>
      <c r="B140" s="174"/>
      <c r="C140" s="175"/>
      <c r="D140" s="173"/>
      <c r="E140" s="172"/>
      <c r="F140" s="124">
        <v>505</v>
      </c>
      <c r="J140" s="120">
        <f t="shared" si="2"/>
        <v>50.5</v>
      </c>
    </row>
    <row r="141" spans="1:10" x14ac:dyDescent="0.3">
      <c r="A141" s="176"/>
      <c r="B141" s="174"/>
      <c r="C141" s="175">
        <v>510</v>
      </c>
      <c r="D141" s="173">
        <v>511</v>
      </c>
      <c r="E141" s="172">
        <v>511</v>
      </c>
      <c r="F141" s="124">
        <v>511</v>
      </c>
      <c r="J141" s="120">
        <f t="shared" si="2"/>
        <v>51.1</v>
      </c>
    </row>
    <row r="142" spans="1:10" x14ac:dyDescent="0.3">
      <c r="A142" s="176"/>
      <c r="B142" s="174"/>
      <c r="C142" s="175"/>
      <c r="D142" s="173"/>
      <c r="E142" s="172"/>
      <c r="F142" s="124">
        <v>517</v>
      </c>
      <c r="J142" s="120">
        <f t="shared" si="2"/>
        <v>51.7</v>
      </c>
    </row>
    <row r="143" spans="1:10" x14ac:dyDescent="0.3">
      <c r="A143" s="176"/>
      <c r="B143" s="174"/>
      <c r="C143" s="175"/>
      <c r="D143" s="173"/>
      <c r="E143" s="172">
        <v>523</v>
      </c>
      <c r="F143" s="124">
        <v>523</v>
      </c>
      <c r="J143" s="120">
        <f t="shared" si="2"/>
        <v>52.3</v>
      </c>
    </row>
    <row r="144" spans="1:10" x14ac:dyDescent="0.3">
      <c r="A144" s="176"/>
      <c r="B144" s="174"/>
      <c r="C144" s="175"/>
      <c r="D144" s="173"/>
      <c r="E144" s="172"/>
      <c r="F144" s="124">
        <v>530</v>
      </c>
      <c r="J144" s="120">
        <f t="shared" si="2"/>
        <v>53</v>
      </c>
    </row>
    <row r="145" spans="1:10" x14ac:dyDescent="0.3">
      <c r="A145" s="176"/>
      <c r="B145" s="174"/>
      <c r="C145" s="175"/>
      <c r="D145" s="173">
        <v>536</v>
      </c>
      <c r="E145" s="172">
        <v>536</v>
      </c>
      <c r="F145" s="124">
        <v>536</v>
      </c>
      <c r="J145" s="120">
        <f t="shared" si="2"/>
        <v>53.6</v>
      </c>
    </row>
    <row r="146" spans="1:10" x14ac:dyDescent="0.3">
      <c r="A146" s="176"/>
      <c r="B146" s="174"/>
      <c r="C146" s="175"/>
      <c r="D146" s="173"/>
      <c r="E146" s="172"/>
      <c r="F146" s="124">
        <v>542</v>
      </c>
      <c r="J146" s="120">
        <f t="shared" si="2"/>
        <v>54.2</v>
      </c>
    </row>
    <row r="147" spans="1:10" x14ac:dyDescent="0.3">
      <c r="A147" s="176"/>
      <c r="B147" s="174"/>
      <c r="C147" s="175"/>
      <c r="D147" s="173"/>
      <c r="E147" s="172">
        <v>549</v>
      </c>
      <c r="F147" s="124">
        <v>549</v>
      </c>
      <c r="J147" s="120">
        <f t="shared" si="2"/>
        <v>54.9</v>
      </c>
    </row>
    <row r="148" spans="1:10" x14ac:dyDescent="0.3">
      <c r="A148" s="176"/>
      <c r="B148" s="174"/>
      <c r="C148" s="175"/>
      <c r="D148" s="173"/>
      <c r="E148" s="172"/>
      <c r="F148" s="124">
        <v>556</v>
      </c>
      <c r="J148" s="120">
        <f t="shared" si="2"/>
        <v>55.6</v>
      </c>
    </row>
    <row r="149" spans="1:10" x14ac:dyDescent="0.3">
      <c r="A149" s="176"/>
      <c r="B149" s="174">
        <v>560</v>
      </c>
      <c r="C149" s="175">
        <v>560</v>
      </c>
      <c r="D149" s="173">
        <v>562</v>
      </c>
      <c r="E149" s="172">
        <v>562</v>
      </c>
      <c r="F149" s="124">
        <v>562</v>
      </c>
      <c r="J149" s="120">
        <f t="shared" si="2"/>
        <v>56.2</v>
      </c>
    </row>
    <row r="150" spans="1:10" x14ac:dyDescent="0.3">
      <c r="A150" s="176"/>
      <c r="B150" s="174"/>
      <c r="C150" s="175"/>
      <c r="D150" s="173"/>
      <c r="E150" s="172"/>
      <c r="F150" s="124">
        <v>569</v>
      </c>
      <c r="J150" s="120">
        <f t="shared" si="2"/>
        <v>56.9</v>
      </c>
    </row>
    <row r="151" spans="1:10" x14ac:dyDescent="0.3">
      <c r="A151" s="176"/>
      <c r="B151" s="174"/>
      <c r="C151" s="175"/>
      <c r="D151" s="173"/>
      <c r="E151" s="172">
        <v>576</v>
      </c>
      <c r="F151" s="124">
        <v>576</v>
      </c>
      <c r="J151" s="120">
        <f t="shared" si="2"/>
        <v>57.6</v>
      </c>
    </row>
    <row r="152" spans="1:10" x14ac:dyDescent="0.3">
      <c r="A152" s="176"/>
      <c r="B152" s="174"/>
      <c r="C152" s="175"/>
      <c r="D152" s="173"/>
      <c r="E152" s="172"/>
      <c r="F152" s="124">
        <v>583</v>
      </c>
      <c r="J152" s="120">
        <f t="shared" si="2"/>
        <v>58.3</v>
      </c>
    </row>
    <row r="153" spans="1:10" x14ac:dyDescent="0.3">
      <c r="A153" s="176"/>
      <c r="B153" s="174"/>
      <c r="C153" s="175"/>
      <c r="D153" s="173">
        <v>590</v>
      </c>
      <c r="E153" s="172">
        <v>590</v>
      </c>
      <c r="F153" s="124">
        <v>590</v>
      </c>
      <c r="J153" s="120">
        <f t="shared" si="2"/>
        <v>59</v>
      </c>
    </row>
    <row r="154" spans="1:10" x14ac:dyDescent="0.3">
      <c r="A154" s="176"/>
      <c r="B154" s="174"/>
      <c r="C154" s="175"/>
      <c r="D154" s="173"/>
      <c r="E154" s="172"/>
      <c r="F154" s="124">
        <v>597</v>
      </c>
      <c r="J154" s="120">
        <f t="shared" si="2"/>
        <v>59.7</v>
      </c>
    </row>
    <row r="155" spans="1:10" x14ac:dyDescent="0.3">
      <c r="A155" s="176"/>
      <c r="B155" s="174"/>
      <c r="C155" s="175"/>
      <c r="D155" s="173"/>
      <c r="E155" s="172">
        <v>604</v>
      </c>
      <c r="F155" s="124">
        <v>604</v>
      </c>
      <c r="J155" s="120">
        <f t="shared" si="2"/>
        <v>60.4</v>
      </c>
    </row>
    <row r="156" spans="1:10" x14ac:dyDescent="0.3">
      <c r="A156" s="176"/>
      <c r="B156" s="174"/>
      <c r="C156" s="175"/>
      <c r="D156" s="173"/>
      <c r="E156" s="172"/>
      <c r="F156" s="124">
        <v>612</v>
      </c>
      <c r="J156" s="120">
        <f t="shared" si="2"/>
        <v>61.2</v>
      </c>
    </row>
    <row r="157" spans="1:10" x14ac:dyDescent="0.3">
      <c r="A157" s="176"/>
      <c r="B157" s="174"/>
      <c r="C157" s="175">
        <v>620</v>
      </c>
      <c r="D157" s="173">
        <v>619</v>
      </c>
      <c r="E157" s="172">
        <v>619</v>
      </c>
      <c r="F157" s="124">
        <v>619</v>
      </c>
      <c r="J157" s="120">
        <f t="shared" si="2"/>
        <v>61.9</v>
      </c>
    </row>
    <row r="158" spans="1:10" x14ac:dyDescent="0.3">
      <c r="A158" s="176"/>
      <c r="B158" s="174"/>
      <c r="C158" s="175"/>
      <c r="D158" s="173"/>
      <c r="E158" s="172"/>
      <c r="F158" s="124">
        <v>626</v>
      </c>
      <c r="J158" s="120">
        <f t="shared" si="2"/>
        <v>62.6</v>
      </c>
    </row>
    <row r="159" spans="1:10" x14ac:dyDescent="0.3">
      <c r="A159" s="176"/>
      <c r="B159" s="174"/>
      <c r="C159" s="175"/>
      <c r="D159" s="173"/>
      <c r="E159" s="172">
        <v>634</v>
      </c>
      <c r="F159" s="124">
        <v>634</v>
      </c>
      <c r="J159" s="120">
        <f t="shared" si="2"/>
        <v>63.4</v>
      </c>
    </row>
    <row r="160" spans="1:10" x14ac:dyDescent="0.3">
      <c r="A160" s="176"/>
      <c r="B160" s="174"/>
      <c r="C160" s="175"/>
      <c r="D160" s="173"/>
      <c r="E160" s="172"/>
      <c r="F160" s="124">
        <v>642</v>
      </c>
      <c r="J160" s="120">
        <f t="shared" si="2"/>
        <v>64.2</v>
      </c>
    </row>
    <row r="161" spans="1:10" x14ac:dyDescent="0.3">
      <c r="A161" s="176"/>
      <c r="B161" s="174"/>
      <c r="C161" s="175"/>
      <c r="D161" s="173">
        <v>649</v>
      </c>
      <c r="E161" s="172">
        <v>649</v>
      </c>
      <c r="F161" s="124">
        <v>649</v>
      </c>
      <c r="J161" s="120">
        <f t="shared" si="2"/>
        <v>64.900000000000006</v>
      </c>
    </row>
    <row r="162" spans="1:10" x14ac:dyDescent="0.3">
      <c r="A162" s="176"/>
      <c r="B162" s="174"/>
      <c r="C162" s="175"/>
      <c r="D162" s="173"/>
      <c r="E162" s="172"/>
      <c r="F162" s="124">
        <v>657</v>
      </c>
      <c r="J162" s="120">
        <f t="shared" si="2"/>
        <v>65.7</v>
      </c>
    </row>
    <row r="163" spans="1:10" x14ac:dyDescent="0.3">
      <c r="A163" s="176"/>
      <c r="B163" s="174"/>
      <c r="C163" s="175"/>
      <c r="D163" s="173"/>
      <c r="E163" s="172">
        <v>665</v>
      </c>
      <c r="F163" s="124">
        <v>665</v>
      </c>
      <c r="J163" s="120">
        <f t="shared" si="2"/>
        <v>66.5</v>
      </c>
    </row>
    <row r="164" spans="1:10" x14ac:dyDescent="0.3">
      <c r="A164" s="176"/>
      <c r="B164" s="174"/>
      <c r="C164" s="175"/>
      <c r="D164" s="173"/>
      <c r="E164" s="172"/>
      <c r="F164" s="124">
        <v>673</v>
      </c>
      <c r="J164" s="120">
        <f t="shared" si="2"/>
        <v>67.3</v>
      </c>
    </row>
    <row r="165" spans="1:10" x14ac:dyDescent="0.3">
      <c r="A165" s="176">
        <v>680</v>
      </c>
      <c r="B165" s="174">
        <v>680</v>
      </c>
      <c r="C165" s="175">
        <v>680</v>
      </c>
      <c r="D165" s="173">
        <v>681</v>
      </c>
      <c r="E165" s="172">
        <v>681</v>
      </c>
      <c r="F165" s="124">
        <v>681</v>
      </c>
      <c r="J165" s="120">
        <f t="shared" si="2"/>
        <v>68.099999999999994</v>
      </c>
    </row>
    <row r="166" spans="1:10" x14ac:dyDescent="0.3">
      <c r="A166" s="176"/>
      <c r="B166" s="174"/>
      <c r="C166" s="175"/>
      <c r="D166" s="173"/>
      <c r="E166" s="172"/>
      <c r="F166" s="124">
        <v>690</v>
      </c>
      <c r="J166" s="120">
        <f t="shared" si="2"/>
        <v>69</v>
      </c>
    </row>
    <row r="167" spans="1:10" x14ac:dyDescent="0.3">
      <c r="A167" s="176"/>
      <c r="B167" s="174"/>
      <c r="C167" s="175"/>
      <c r="D167" s="173"/>
      <c r="E167" s="172">
        <v>698</v>
      </c>
      <c r="F167" s="124">
        <v>698</v>
      </c>
      <c r="J167" s="120">
        <f t="shared" si="2"/>
        <v>69.8</v>
      </c>
    </row>
    <row r="168" spans="1:10" x14ac:dyDescent="0.3">
      <c r="A168" s="176"/>
      <c r="B168" s="174"/>
      <c r="C168" s="175"/>
      <c r="D168" s="173"/>
      <c r="E168" s="172"/>
      <c r="F168" s="124">
        <v>706</v>
      </c>
      <c r="J168" s="120">
        <f t="shared" si="2"/>
        <v>70.599999999999994</v>
      </c>
    </row>
    <row r="169" spans="1:10" x14ac:dyDescent="0.3">
      <c r="A169" s="176"/>
      <c r="B169" s="174"/>
      <c r="C169" s="175"/>
      <c r="D169" s="173">
        <v>715</v>
      </c>
      <c r="E169" s="172">
        <v>715</v>
      </c>
      <c r="F169" s="124">
        <v>715</v>
      </c>
      <c r="J169" s="120">
        <f t="shared" si="2"/>
        <v>71.5</v>
      </c>
    </row>
    <row r="170" spans="1:10" x14ac:dyDescent="0.3">
      <c r="A170" s="176"/>
      <c r="B170" s="174"/>
      <c r="C170" s="175"/>
      <c r="D170" s="173"/>
      <c r="E170" s="172"/>
      <c r="F170" s="124">
        <v>723</v>
      </c>
      <c r="J170" s="120">
        <f t="shared" si="2"/>
        <v>72.3</v>
      </c>
    </row>
    <row r="171" spans="1:10" x14ac:dyDescent="0.3">
      <c r="A171" s="176"/>
      <c r="B171" s="174"/>
      <c r="C171" s="175"/>
      <c r="D171" s="173"/>
      <c r="E171" s="172">
        <v>732</v>
      </c>
      <c r="F171" s="124">
        <v>732</v>
      </c>
      <c r="J171" s="120">
        <f t="shared" si="2"/>
        <v>73.2</v>
      </c>
    </row>
    <row r="172" spans="1:10" x14ac:dyDescent="0.3">
      <c r="A172" s="176"/>
      <c r="B172" s="174"/>
      <c r="C172" s="175"/>
      <c r="D172" s="173"/>
      <c r="E172" s="172"/>
      <c r="F172" s="124">
        <v>741</v>
      </c>
      <c r="J172" s="120">
        <f t="shared" si="2"/>
        <v>74.099999999999994</v>
      </c>
    </row>
    <row r="173" spans="1:10" x14ac:dyDescent="0.3">
      <c r="A173" s="176"/>
      <c r="B173" s="174"/>
      <c r="C173" s="175">
        <v>750</v>
      </c>
      <c r="D173" s="173">
        <v>750</v>
      </c>
      <c r="E173" s="172">
        <v>750</v>
      </c>
      <c r="F173" s="124">
        <v>750</v>
      </c>
      <c r="J173" s="120">
        <f t="shared" si="2"/>
        <v>75</v>
      </c>
    </row>
    <row r="174" spans="1:10" x14ac:dyDescent="0.3">
      <c r="A174" s="176"/>
      <c r="B174" s="174"/>
      <c r="C174" s="175"/>
      <c r="D174" s="173"/>
      <c r="E174" s="172"/>
      <c r="F174" s="124">
        <v>759</v>
      </c>
      <c r="J174" s="120">
        <f t="shared" si="2"/>
        <v>75.900000000000006</v>
      </c>
    </row>
    <row r="175" spans="1:10" x14ac:dyDescent="0.3">
      <c r="A175" s="176"/>
      <c r="B175" s="174"/>
      <c r="C175" s="175"/>
      <c r="D175" s="173"/>
      <c r="E175" s="172">
        <v>768</v>
      </c>
      <c r="F175" s="124">
        <v>768</v>
      </c>
      <c r="J175" s="120">
        <f t="shared" si="2"/>
        <v>76.8</v>
      </c>
    </row>
    <row r="176" spans="1:10" x14ac:dyDescent="0.3">
      <c r="A176" s="176"/>
      <c r="B176" s="174"/>
      <c r="C176" s="175"/>
      <c r="D176" s="173"/>
      <c r="E176" s="172"/>
      <c r="F176" s="124">
        <v>777</v>
      </c>
      <c r="J176" s="120">
        <f t="shared" si="2"/>
        <v>77.7</v>
      </c>
    </row>
    <row r="177" spans="1:10" x14ac:dyDescent="0.3">
      <c r="A177" s="176"/>
      <c r="B177" s="174"/>
      <c r="C177" s="175"/>
      <c r="D177" s="173">
        <v>787</v>
      </c>
      <c r="E177" s="172">
        <v>787</v>
      </c>
      <c r="F177" s="124">
        <v>787</v>
      </c>
      <c r="J177" s="120">
        <f t="shared" si="2"/>
        <v>78.7</v>
      </c>
    </row>
    <row r="178" spans="1:10" x14ac:dyDescent="0.3">
      <c r="A178" s="176"/>
      <c r="B178" s="174"/>
      <c r="C178" s="175"/>
      <c r="D178" s="173"/>
      <c r="E178" s="172"/>
      <c r="F178" s="124">
        <v>796</v>
      </c>
      <c r="J178" s="120">
        <f t="shared" si="2"/>
        <v>79.599999999999994</v>
      </c>
    </row>
    <row r="179" spans="1:10" x14ac:dyDescent="0.3">
      <c r="A179" s="176"/>
      <c r="B179" s="174"/>
      <c r="C179" s="175"/>
      <c r="D179" s="173"/>
      <c r="E179" s="172">
        <v>806</v>
      </c>
      <c r="F179" s="124">
        <v>806</v>
      </c>
      <c r="J179" s="120">
        <f t="shared" si="2"/>
        <v>80.599999999999994</v>
      </c>
    </row>
    <row r="180" spans="1:10" x14ac:dyDescent="0.3">
      <c r="A180" s="176"/>
      <c r="B180" s="174"/>
      <c r="C180" s="175"/>
      <c r="D180" s="173"/>
      <c r="E180" s="172"/>
      <c r="F180" s="124">
        <v>816</v>
      </c>
      <c r="J180" s="120">
        <f t="shared" si="2"/>
        <v>81.599999999999994</v>
      </c>
    </row>
    <row r="181" spans="1:10" x14ac:dyDescent="0.3">
      <c r="A181" s="176"/>
      <c r="B181" s="174">
        <v>820</v>
      </c>
      <c r="C181" s="175">
        <v>820</v>
      </c>
      <c r="D181" s="173">
        <v>825</v>
      </c>
      <c r="E181" s="172">
        <v>825</v>
      </c>
      <c r="F181" s="124">
        <v>825</v>
      </c>
      <c r="J181" s="120">
        <f t="shared" si="2"/>
        <v>82.5</v>
      </c>
    </row>
    <row r="182" spans="1:10" x14ac:dyDescent="0.3">
      <c r="A182" s="176"/>
      <c r="B182" s="174"/>
      <c r="C182" s="175"/>
      <c r="D182" s="173"/>
      <c r="E182" s="172"/>
      <c r="F182" s="124">
        <v>835</v>
      </c>
      <c r="J182" s="120">
        <f t="shared" si="2"/>
        <v>83.5</v>
      </c>
    </row>
    <row r="183" spans="1:10" x14ac:dyDescent="0.3">
      <c r="A183" s="176"/>
      <c r="B183" s="174"/>
      <c r="C183" s="175"/>
      <c r="D183" s="173"/>
      <c r="E183" s="172">
        <v>845</v>
      </c>
      <c r="F183" s="124">
        <v>845</v>
      </c>
      <c r="J183" s="120">
        <f t="shared" si="2"/>
        <v>84.5</v>
      </c>
    </row>
    <row r="184" spans="1:10" x14ac:dyDescent="0.3">
      <c r="A184" s="176"/>
      <c r="B184" s="174"/>
      <c r="C184" s="175"/>
      <c r="D184" s="173"/>
      <c r="E184" s="172"/>
      <c r="F184" s="124">
        <v>856</v>
      </c>
      <c r="J184" s="120">
        <f t="shared" si="2"/>
        <v>85.6</v>
      </c>
    </row>
    <row r="185" spans="1:10" x14ac:dyDescent="0.3">
      <c r="A185" s="176"/>
      <c r="B185" s="174"/>
      <c r="C185" s="175"/>
      <c r="D185" s="173">
        <v>866</v>
      </c>
      <c r="E185" s="172">
        <v>866</v>
      </c>
      <c r="F185" s="124">
        <v>866</v>
      </c>
      <c r="J185" s="120">
        <f t="shared" si="2"/>
        <v>86.6</v>
      </c>
    </row>
    <row r="186" spans="1:10" x14ac:dyDescent="0.3">
      <c r="A186" s="176"/>
      <c r="B186" s="174"/>
      <c r="C186" s="175"/>
      <c r="D186" s="173"/>
      <c r="E186" s="172"/>
      <c r="F186" s="124">
        <v>876</v>
      </c>
      <c r="J186" s="120">
        <f t="shared" si="2"/>
        <v>87.6</v>
      </c>
    </row>
    <row r="187" spans="1:10" x14ac:dyDescent="0.3">
      <c r="A187" s="176"/>
      <c r="B187" s="174"/>
      <c r="C187" s="175"/>
      <c r="D187" s="173"/>
      <c r="E187" s="172">
        <v>887</v>
      </c>
      <c r="F187" s="124">
        <v>887</v>
      </c>
      <c r="J187" s="120">
        <f t="shared" si="2"/>
        <v>88.7</v>
      </c>
    </row>
    <row r="188" spans="1:10" x14ac:dyDescent="0.3">
      <c r="A188" s="176"/>
      <c r="B188" s="174"/>
      <c r="C188" s="175"/>
      <c r="D188" s="173"/>
      <c r="E188" s="172"/>
      <c r="F188" s="124">
        <v>898</v>
      </c>
      <c r="J188" s="120">
        <f t="shared" si="2"/>
        <v>89.8</v>
      </c>
    </row>
    <row r="189" spans="1:10" x14ac:dyDescent="0.3">
      <c r="A189" s="176"/>
      <c r="B189" s="174"/>
      <c r="C189" s="175">
        <v>910</v>
      </c>
      <c r="D189" s="173">
        <v>909</v>
      </c>
      <c r="E189" s="172">
        <v>909</v>
      </c>
      <c r="F189" s="124">
        <v>909</v>
      </c>
      <c r="J189" s="120">
        <f t="shared" si="2"/>
        <v>90.9</v>
      </c>
    </row>
    <row r="190" spans="1:10" x14ac:dyDescent="0.3">
      <c r="A190" s="176"/>
      <c r="B190" s="174"/>
      <c r="C190" s="175"/>
      <c r="D190" s="173"/>
      <c r="E190" s="172"/>
      <c r="F190" s="124">
        <v>920</v>
      </c>
      <c r="J190" s="120">
        <f t="shared" si="2"/>
        <v>92</v>
      </c>
    </row>
    <row r="191" spans="1:10" x14ac:dyDescent="0.3">
      <c r="A191" s="176"/>
      <c r="B191" s="174"/>
      <c r="C191" s="175"/>
      <c r="D191" s="173"/>
      <c r="E191" s="172">
        <v>931</v>
      </c>
      <c r="F191" s="124">
        <v>931</v>
      </c>
      <c r="J191" s="120">
        <f t="shared" si="2"/>
        <v>93.1</v>
      </c>
    </row>
    <row r="192" spans="1:10" x14ac:dyDescent="0.3">
      <c r="A192" s="176"/>
      <c r="B192" s="174"/>
      <c r="C192" s="175"/>
      <c r="D192" s="173"/>
      <c r="E192" s="172"/>
      <c r="F192" s="124">
        <v>942</v>
      </c>
      <c r="J192" s="120">
        <f t="shared" si="2"/>
        <v>94.2</v>
      </c>
    </row>
    <row r="193" spans="1:10" x14ac:dyDescent="0.3">
      <c r="A193" s="176"/>
      <c r="B193" s="174"/>
      <c r="C193" s="175"/>
      <c r="D193" s="173">
        <v>953</v>
      </c>
      <c r="E193" s="172">
        <v>953</v>
      </c>
      <c r="F193" s="124">
        <v>953</v>
      </c>
      <c r="J193" s="120">
        <f t="shared" si="2"/>
        <v>95.3</v>
      </c>
    </row>
    <row r="194" spans="1:10" x14ac:dyDescent="0.3">
      <c r="A194" s="176"/>
      <c r="B194" s="174"/>
      <c r="C194" s="175"/>
      <c r="D194" s="173"/>
      <c r="E194" s="172"/>
      <c r="F194" s="124">
        <v>965</v>
      </c>
      <c r="J194" s="120">
        <f t="shared" si="2"/>
        <v>96.5</v>
      </c>
    </row>
    <row r="195" spans="1:10" x14ac:dyDescent="0.3">
      <c r="A195" s="176"/>
      <c r="B195" s="174"/>
      <c r="C195" s="175"/>
      <c r="D195" s="173"/>
      <c r="E195" s="172">
        <v>976</v>
      </c>
      <c r="F195" s="124">
        <v>976</v>
      </c>
      <c r="J195" s="120">
        <f t="shared" si="2"/>
        <v>97.6</v>
      </c>
    </row>
    <row r="196" spans="1:10" x14ac:dyDescent="0.3">
      <c r="A196" s="176"/>
      <c r="B196" s="174"/>
      <c r="C196" s="175"/>
      <c r="D196" s="173"/>
      <c r="E196" s="172"/>
      <c r="F196" s="124">
        <v>988</v>
      </c>
      <c r="J196" s="120">
        <f t="shared" si="2"/>
        <v>98.8</v>
      </c>
    </row>
    <row r="197" spans="1:10" x14ac:dyDescent="0.3">
      <c r="A197" s="126">
        <v>1000</v>
      </c>
      <c r="B197" s="127">
        <v>1000</v>
      </c>
      <c r="C197" s="128">
        <v>1000</v>
      </c>
      <c r="D197" s="129">
        <v>1000</v>
      </c>
      <c r="E197" s="130">
        <v>1000</v>
      </c>
      <c r="F197" s="131">
        <v>1000</v>
      </c>
      <c r="G197" s="132" t="s">
        <v>383</v>
      </c>
      <c r="J197" s="120">
        <f t="shared" si="2"/>
        <v>100</v>
      </c>
    </row>
  </sheetData>
  <mergeCells count="187">
    <mergeCell ref="C13:C20"/>
    <mergeCell ref="D13:D16"/>
    <mergeCell ref="E13:E14"/>
    <mergeCell ref="E15:E16"/>
    <mergeCell ref="D17:D20"/>
    <mergeCell ref="E17:E18"/>
    <mergeCell ref="E19:E20"/>
    <mergeCell ref="A1:F1"/>
    <mergeCell ref="A5:A36"/>
    <mergeCell ref="B5:B20"/>
    <mergeCell ref="C5:C12"/>
    <mergeCell ref="D5:D8"/>
    <mergeCell ref="E5:E6"/>
    <mergeCell ref="E7:E8"/>
    <mergeCell ref="D9:D12"/>
    <mergeCell ref="E9:E10"/>
    <mergeCell ref="E11:E12"/>
    <mergeCell ref="E29:E30"/>
    <mergeCell ref="E31:E32"/>
    <mergeCell ref="D33:D36"/>
    <mergeCell ref="E33:E34"/>
    <mergeCell ref="E35:E36"/>
    <mergeCell ref="A37:A68"/>
    <mergeCell ref="B37:B52"/>
    <mergeCell ref="C37:C44"/>
    <mergeCell ref="D37:D40"/>
    <mergeCell ref="E37:E38"/>
    <mergeCell ref="B21:B36"/>
    <mergeCell ref="C21:C28"/>
    <mergeCell ref="D21:D24"/>
    <mergeCell ref="E21:E22"/>
    <mergeCell ref="E23:E24"/>
    <mergeCell ref="D25:D28"/>
    <mergeCell ref="E25:E26"/>
    <mergeCell ref="E27:E28"/>
    <mergeCell ref="C29:C36"/>
    <mergeCell ref="D29:D32"/>
    <mergeCell ref="E39:E40"/>
    <mergeCell ref="D41:D44"/>
    <mergeCell ref="E41:E42"/>
    <mergeCell ref="E43:E44"/>
    <mergeCell ref="C45:C52"/>
    <mergeCell ref="D45:D48"/>
    <mergeCell ref="E45:E46"/>
    <mergeCell ref="E47:E48"/>
    <mergeCell ref="D49:D52"/>
    <mergeCell ref="E49:E50"/>
    <mergeCell ref="D61:D64"/>
    <mergeCell ref="E61:E62"/>
    <mergeCell ref="E63:E64"/>
    <mergeCell ref="D65:D68"/>
    <mergeCell ref="E65:E66"/>
    <mergeCell ref="E67:E68"/>
    <mergeCell ref="E51:E52"/>
    <mergeCell ref="B53:B68"/>
    <mergeCell ref="C53:C60"/>
    <mergeCell ref="D53:D56"/>
    <mergeCell ref="E53:E54"/>
    <mergeCell ref="E55:E56"/>
    <mergeCell ref="D57:D60"/>
    <mergeCell ref="E57:E58"/>
    <mergeCell ref="E59:E60"/>
    <mergeCell ref="C61:C68"/>
    <mergeCell ref="D77:D80"/>
    <mergeCell ref="E77:E78"/>
    <mergeCell ref="E79:E80"/>
    <mergeCell ref="D81:D84"/>
    <mergeCell ref="E81:E82"/>
    <mergeCell ref="E83:E84"/>
    <mergeCell ref="A69:A100"/>
    <mergeCell ref="B69:B84"/>
    <mergeCell ref="C69:C76"/>
    <mergeCell ref="D69:D72"/>
    <mergeCell ref="E69:E70"/>
    <mergeCell ref="E71:E72"/>
    <mergeCell ref="D73:D76"/>
    <mergeCell ref="E73:E74"/>
    <mergeCell ref="E75:E76"/>
    <mergeCell ref="C77:C84"/>
    <mergeCell ref="E93:E94"/>
    <mergeCell ref="E95:E96"/>
    <mergeCell ref="D97:D100"/>
    <mergeCell ref="E97:E98"/>
    <mergeCell ref="E99:E100"/>
    <mergeCell ref="A101:A132"/>
    <mergeCell ref="B101:B116"/>
    <mergeCell ref="C101:C108"/>
    <mergeCell ref="D101:D104"/>
    <mergeCell ref="E101:E102"/>
    <mergeCell ref="B85:B100"/>
    <mergeCell ref="C85:C92"/>
    <mergeCell ref="D85:D88"/>
    <mergeCell ref="E85:E86"/>
    <mergeCell ref="E87:E88"/>
    <mergeCell ref="D89:D92"/>
    <mergeCell ref="E89:E90"/>
    <mergeCell ref="E91:E92"/>
    <mergeCell ref="C93:C100"/>
    <mergeCell ref="D93:D96"/>
    <mergeCell ref="E103:E104"/>
    <mergeCell ref="D105:D108"/>
    <mergeCell ref="E105:E106"/>
    <mergeCell ref="E107:E108"/>
    <mergeCell ref="C109:C116"/>
    <mergeCell ref="D109:D112"/>
    <mergeCell ref="E109:E110"/>
    <mergeCell ref="E111:E112"/>
    <mergeCell ref="D113:D116"/>
    <mergeCell ref="E113:E114"/>
    <mergeCell ref="D125:D128"/>
    <mergeCell ref="E125:E126"/>
    <mergeCell ref="E127:E128"/>
    <mergeCell ref="D129:D132"/>
    <mergeCell ref="E129:E130"/>
    <mergeCell ref="E131:E132"/>
    <mergeCell ref="E115:E116"/>
    <mergeCell ref="B117:B132"/>
    <mergeCell ref="C117:C124"/>
    <mergeCell ref="D117:D120"/>
    <mergeCell ref="E117:E118"/>
    <mergeCell ref="E119:E120"/>
    <mergeCell ref="D121:D124"/>
    <mergeCell ref="E121:E122"/>
    <mergeCell ref="E123:E124"/>
    <mergeCell ref="C125:C132"/>
    <mergeCell ref="D141:D144"/>
    <mergeCell ref="E141:E142"/>
    <mergeCell ref="E143:E144"/>
    <mergeCell ref="D145:D148"/>
    <mergeCell ref="E145:E146"/>
    <mergeCell ref="E147:E148"/>
    <mergeCell ref="A133:A164"/>
    <mergeCell ref="B133:B148"/>
    <mergeCell ref="C133:C140"/>
    <mergeCell ref="D133:D136"/>
    <mergeCell ref="E133:E134"/>
    <mergeCell ref="E135:E136"/>
    <mergeCell ref="D137:D140"/>
    <mergeCell ref="E137:E138"/>
    <mergeCell ref="E139:E140"/>
    <mergeCell ref="C141:C148"/>
    <mergeCell ref="E157:E158"/>
    <mergeCell ref="E159:E160"/>
    <mergeCell ref="D161:D164"/>
    <mergeCell ref="E161:E162"/>
    <mergeCell ref="E163:E164"/>
    <mergeCell ref="A165:A196"/>
    <mergeCell ref="B165:B180"/>
    <mergeCell ref="C165:C172"/>
    <mergeCell ref="D165:D168"/>
    <mergeCell ref="E165:E166"/>
    <mergeCell ref="B149:B164"/>
    <mergeCell ref="C149:C156"/>
    <mergeCell ref="D149:D152"/>
    <mergeCell ref="E149:E150"/>
    <mergeCell ref="E151:E152"/>
    <mergeCell ref="D153:D156"/>
    <mergeCell ref="E153:E154"/>
    <mergeCell ref="E155:E156"/>
    <mergeCell ref="C157:C164"/>
    <mergeCell ref="D157:D160"/>
    <mergeCell ref="E167:E168"/>
    <mergeCell ref="D169:D172"/>
    <mergeCell ref="E169:E170"/>
    <mergeCell ref="E171:E172"/>
    <mergeCell ref="C173:C180"/>
    <mergeCell ref="D173:D176"/>
    <mergeCell ref="E173:E174"/>
    <mergeCell ref="E175:E176"/>
    <mergeCell ref="D177:D180"/>
    <mergeCell ref="E177:E178"/>
    <mergeCell ref="D189:D192"/>
    <mergeCell ref="E189:E190"/>
    <mergeCell ref="E191:E192"/>
    <mergeCell ref="D193:D196"/>
    <mergeCell ref="E193:E194"/>
    <mergeCell ref="E195:E196"/>
    <mergeCell ref="E179:E180"/>
    <mergeCell ref="B181:B196"/>
    <mergeCell ref="C181:C188"/>
    <mergeCell ref="D181:D184"/>
    <mergeCell ref="E181:E182"/>
    <mergeCell ref="E183:E184"/>
    <mergeCell ref="D185:D188"/>
    <mergeCell ref="E185:E186"/>
    <mergeCell ref="E187:E188"/>
    <mergeCell ref="C189:C19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Q191"/>
  <sheetViews>
    <sheetView topLeftCell="A3" workbookViewId="0">
      <selection activeCell="B3" sqref="B3:B4"/>
    </sheetView>
  </sheetViews>
  <sheetFormatPr defaultRowHeight="13.2" x14ac:dyDescent="0.25"/>
  <cols>
    <col min="2" max="2" width="15.6640625" bestFit="1" customWidth="1"/>
    <col min="3" max="3" width="13.6640625" bestFit="1" customWidth="1"/>
    <col min="4" max="4" width="9.88671875" customWidth="1"/>
    <col min="5" max="5" width="10" customWidth="1"/>
    <col min="6" max="6" width="9.88671875" customWidth="1"/>
    <col min="7" max="9" width="12.44140625" customWidth="1"/>
    <col min="11" max="11" width="15.109375" bestFit="1" customWidth="1"/>
    <col min="14" max="14" width="16" customWidth="1"/>
  </cols>
  <sheetData>
    <row r="1" spans="2:15" x14ac:dyDescent="0.25">
      <c r="D1" s="180">
        <v>5121</v>
      </c>
      <c r="E1" s="181"/>
      <c r="F1" s="182">
        <v>5130</v>
      </c>
      <c r="G1" s="179"/>
      <c r="H1" s="179">
        <v>5110</v>
      </c>
      <c r="I1" s="179"/>
      <c r="J1" s="178" t="s">
        <v>260</v>
      </c>
      <c r="K1" s="179"/>
      <c r="L1" s="33"/>
    </row>
    <row r="2" spans="2:15" x14ac:dyDescent="0.25">
      <c r="B2" s="33" t="s">
        <v>243</v>
      </c>
      <c r="C2" s="33" t="s">
        <v>244</v>
      </c>
      <c r="D2" s="33" t="s">
        <v>252</v>
      </c>
      <c r="E2" s="33" t="s">
        <v>253</v>
      </c>
      <c r="F2" s="33" t="s">
        <v>254</v>
      </c>
      <c r="G2" s="33" t="s">
        <v>255</v>
      </c>
      <c r="H2" s="33" t="s">
        <v>446</v>
      </c>
      <c r="I2" s="33" t="s">
        <v>445</v>
      </c>
      <c r="J2" s="33" t="s">
        <v>259</v>
      </c>
      <c r="K2" s="33" t="s">
        <v>258</v>
      </c>
      <c r="L2" s="33" t="s">
        <v>401</v>
      </c>
      <c r="N2" s="33" t="s">
        <v>270</v>
      </c>
      <c r="O2" s="33" t="s">
        <v>276</v>
      </c>
    </row>
    <row r="3" spans="2:15" x14ac:dyDescent="0.25">
      <c r="B3" s="33" t="s">
        <v>235</v>
      </c>
      <c r="C3" s="40">
        <v>1</v>
      </c>
      <c r="D3" s="40">
        <v>25</v>
      </c>
      <c r="E3" s="40">
        <v>11.4</v>
      </c>
      <c r="F3" s="40">
        <v>25</v>
      </c>
      <c r="G3" s="40">
        <v>11.4</v>
      </c>
      <c r="H3" s="40">
        <v>25</v>
      </c>
      <c r="I3" s="40">
        <v>11.4</v>
      </c>
      <c r="J3" s="40">
        <v>1.04</v>
      </c>
      <c r="K3" s="40">
        <v>7.5</v>
      </c>
      <c r="L3" s="40">
        <v>0.5</v>
      </c>
      <c r="N3" s="33" t="s">
        <v>271</v>
      </c>
      <c r="O3" s="80">
        <v>0.2</v>
      </c>
    </row>
    <row r="4" spans="2:15" x14ac:dyDescent="0.25">
      <c r="B4">
        <v>0</v>
      </c>
      <c r="C4" s="40">
        <v>2</v>
      </c>
      <c r="D4" s="40">
        <v>50</v>
      </c>
      <c r="E4" s="40">
        <v>22.3</v>
      </c>
      <c r="F4" s="40">
        <v>50</v>
      </c>
      <c r="G4" s="40">
        <v>22.3</v>
      </c>
      <c r="H4" s="40">
        <v>50</v>
      </c>
      <c r="I4" s="40">
        <v>22.3</v>
      </c>
      <c r="J4" s="40">
        <v>2.29</v>
      </c>
      <c r="K4" s="40">
        <v>15</v>
      </c>
      <c r="L4" s="40">
        <v>1</v>
      </c>
      <c r="N4" s="33" t="s">
        <v>272</v>
      </c>
      <c r="O4" s="80">
        <v>0.1</v>
      </c>
    </row>
    <row r="5" spans="2:15" x14ac:dyDescent="0.25">
      <c r="B5">
        <v>10</v>
      </c>
      <c r="C5" s="75">
        <f t="shared" ref="C5:C68" si="0">39/B5</f>
        <v>3.9</v>
      </c>
      <c r="D5" s="40"/>
      <c r="E5" s="40"/>
      <c r="F5" s="40">
        <f t="shared" ref="F5:H68" si="1">MIN(0.0722,0.001+(950/($B5*1000)))*1000</f>
        <v>72.2</v>
      </c>
      <c r="G5" s="40">
        <f>0.4+(434.15/$B5)</f>
        <v>43.814999999999998</v>
      </c>
      <c r="H5" s="40">
        <f t="shared" si="1"/>
        <v>72.2</v>
      </c>
      <c r="I5" s="40">
        <f>0.4+(434.15/$B5)</f>
        <v>43.814999999999998</v>
      </c>
      <c r="J5" s="40">
        <f>50.8/Fanin_Table[[#This Row],[FaninResistor]]</f>
        <v>5.08</v>
      </c>
      <c r="K5" s="40">
        <f>-1.2 + 273/Fanin_Table[[#This Row],[FaninResistor]]</f>
        <v>26.1</v>
      </c>
      <c r="L5" s="40">
        <f>19.5/(Fanin_Table[[#This Row],[FaninResistor]]*1)</f>
        <v>1.95</v>
      </c>
      <c r="N5" s="33" t="s">
        <v>273</v>
      </c>
      <c r="O5" s="80">
        <v>0.05</v>
      </c>
    </row>
    <row r="6" spans="2:15" x14ac:dyDescent="0.25">
      <c r="B6">
        <v>10.1</v>
      </c>
      <c r="C6" s="75">
        <f t="shared" si="0"/>
        <v>3.8613861386138617</v>
      </c>
      <c r="D6" s="40"/>
      <c r="E6" s="40"/>
      <c r="F6" s="40">
        <f t="shared" si="1"/>
        <v>72.2</v>
      </c>
      <c r="G6" s="40">
        <f t="shared" ref="G6:I69" si="2">0.4+(434.15/$B6)</f>
        <v>43.38514851485148</v>
      </c>
      <c r="H6" s="40">
        <f t="shared" si="1"/>
        <v>72.2</v>
      </c>
      <c r="I6" s="40">
        <f t="shared" si="2"/>
        <v>43.38514851485148</v>
      </c>
      <c r="J6" s="40">
        <f>50.8/Fanin_Table[[#This Row],[FaninResistor]]</f>
        <v>5.0297029702970297</v>
      </c>
      <c r="K6" s="40">
        <f>-1.2 + 273/Fanin_Table[[#This Row],[FaninResistor]]</f>
        <v>25.829702970297031</v>
      </c>
      <c r="L6" s="40">
        <f>19.5/(Fanin_Table[[#This Row],[FaninResistor]]*1)</f>
        <v>1.9306930693069309</v>
      </c>
      <c r="N6" s="33" t="s">
        <v>274</v>
      </c>
      <c r="O6" s="80">
        <v>0.02</v>
      </c>
    </row>
    <row r="7" spans="2:15" x14ac:dyDescent="0.25">
      <c r="B7">
        <v>10.199999999999999</v>
      </c>
      <c r="C7" s="75">
        <f t="shared" si="0"/>
        <v>3.8235294117647061</v>
      </c>
      <c r="D7" s="40"/>
      <c r="E7" s="40"/>
      <c r="F7" s="40">
        <f t="shared" si="1"/>
        <v>72.2</v>
      </c>
      <c r="G7" s="40">
        <f t="shared" si="2"/>
        <v>42.963725490196076</v>
      </c>
      <c r="H7" s="40">
        <f t="shared" si="1"/>
        <v>72.2</v>
      </c>
      <c r="I7" s="40">
        <f t="shared" si="2"/>
        <v>42.963725490196076</v>
      </c>
      <c r="J7" s="40">
        <f>50.8/Fanin_Table[[#This Row],[FaninResistor]]</f>
        <v>4.9803921568627452</v>
      </c>
      <c r="K7" s="40">
        <f>-1.2 + 273/Fanin_Table[[#This Row],[FaninResistor]]</f>
        <v>25.564705882352943</v>
      </c>
      <c r="L7" s="40">
        <f>19.5/(Fanin_Table[[#This Row],[FaninResistor]]*1)</f>
        <v>1.911764705882353</v>
      </c>
      <c r="N7" s="33" t="s">
        <v>275</v>
      </c>
      <c r="O7" s="80">
        <v>0.01</v>
      </c>
    </row>
    <row r="8" spans="2:15" x14ac:dyDescent="0.25">
      <c r="B8">
        <v>10.4</v>
      </c>
      <c r="C8" s="75">
        <f t="shared" si="0"/>
        <v>3.75</v>
      </c>
      <c r="D8" s="40"/>
      <c r="E8" s="40"/>
      <c r="F8" s="40">
        <f t="shared" si="1"/>
        <v>72.2</v>
      </c>
      <c r="G8" s="40">
        <f t="shared" si="2"/>
        <v>42.145192307692305</v>
      </c>
      <c r="H8" s="40">
        <f t="shared" si="1"/>
        <v>72.2</v>
      </c>
      <c r="I8" s="40">
        <f t="shared" si="2"/>
        <v>42.145192307692305</v>
      </c>
      <c r="J8" s="40">
        <f>50.8/Fanin_Table[[#This Row],[FaninResistor]]</f>
        <v>4.8846153846153841</v>
      </c>
      <c r="K8" s="40">
        <f>-1.2 + 273/Fanin_Table[[#This Row],[FaninResistor]]</f>
        <v>25.05</v>
      </c>
      <c r="L8" s="40">
        <f>19.5/(Fanin_Table[[#This Row],[FaninResistor]]*1)</f>
        <v>1.875</v>
      </c>
    </row>
    <row r="9" spans="2:15" x14ac:dyDescent="0.25">
      <c r="B9">
        <v>10.5</v>
      </c>
      <c r="C9" s="75">
        <f t="shared" si="0"/>
        <v>3.7142857142857144</v>
      </c>
      <c r="D9" s="40"/>
      <c r="E9" s="40"/>
      <c r="F9" s="40">
        <f t="shared" si="1"/>
        <v>72.2</v>
      </c>
      <c r="G9" s="40">
        <f t="shared" si="2"/>
        <v>41.747619047619047</v>
      </c>
      <c r="H9" s="40">
        <f t="shared" si="1"/>
        <v>72.2</v>
      </c>
      <c r="I9" s="40">
        <f t="shared" si="2"/>
        <v>41.747619047619047</v>
      </c>
      <c r="J9" s="40">
        <f>50.8/Fanin_Table[[#This Row],[FaninResistor]]</f>
        <v>4.8380952380952378</v>
      </c>
      <c r="K9" s="40">
        <f>-1.2 + 273/Fanin_Table[[#This Row],[FaninResistor]]</f>
        <v>24.8</v>
      </c>
      <c r="L9" s="40">
        <f>19.5/(Fanin_Table[[#This Row],[FaninResistor]]*1)</f>
        <v>1.8571428571428572</v>
      </c>
    </row>
    <row r="10" spans="2:15" x14ac:dyDescent="0.25">
      <c r="B10">
        <v>10.6</v>
      </c>
      <c r="C10" s="75">
        <f t="shared" si="0"/>
        <v>3.6792452830188682</v>
      </c>
      <c r="D10" s="40"/>
      <c r="E10" s="40"/>
      <c r="F10" s="40">
        <f t="shared" si="1"/>
        <v>72.2</v>
      </c>
      <c r="G10" s="40">
        <f t="shared" si="2"/>
        <v>41.357547169811319</v>
      </c>
      <c r="H10" s="40">
        <f t="shared" si="1"/>
        <v>72.2</v>
      </c>
      <c r="I10" s="40">
        <f t="shared" si="2"/>
        <v>41.357547169811319</v>
      </c>
      <c r="J10" s="40">
        <f>50.8/Fanin_Table[[#This Row],[FaninResistor]]</f>
        <v>4.7924528301886795</v>
      </c>
      <c r="K10" s="40">
        <f>-1.2 + 273/Fanin_Table[[#This Row],[FaninResistor]]</f>
        <v>24.554716981132078</v>
      </c>
      <c r="L10" s="40">
        <f>19.5/(Fanin_Table[[#This Row],[FaninResistor]]*1)</f>
        <v>1.8396226415094341</v>
      </c>
      <c r="N10" s="33" t="s">
        <v>276</v>
      </c>
      <c r="O10" s="81">
        <f>VLOOKUP(DC2ResSerie,ResistorSeriesTable[],2,0)</f>
        <v>0.05</v>
      </c>
    </row>
    <row r="11" spans="2:15" x14ac:dyDescent="0.25">
      <c r="B11">
        <v>10.7</v>
      </c>
      <c r="C11" s="75">
        <f t="shared" si="0"/>
        <v>3.6448598130841123</v>
      </c>
      <c r="D11" s="40"/>
      <c r="E11" s="40"/>
      <c r="F11" s="40">
        <f t="shared" si="1"/>
        <v>72.2</v>
      </c>
      <c r="G11" s="40">
        <f t="shared" si="2"/>
        <v>40.974766355140183</v>
      </c>
      <c r="H11" s="40">
        <f t="shared" si="1"/>
        <v>72.2</v>
      </c>
      <c r="I11" s="40">
        <f t="shared" si="2"/>
        <v>40.974766355140183</v>
      </c>
      <c r="J11" s="40">
        <f>50.8/Fanin_Table[[#This Row],[FaninResistor]]</f>
        <v>4.7476635514018692</v>
      </c>
      <c r="K11" s="40">
        <f>-1.2 + 273/Fanin_Table[[#This Row],[FaninResistor]]</f>
        <v>24.314018691588789</v>
      </c>
      <c r="L11" s="40">
        <f>19.5/(Fanin_Table[[#This Row],[FaninResistor]]*1)</f>
        <v>1.8224299065420562</v>
      </c>
      <c r="N11" s="33" t="s">
        <v>277</v>
      </c>
    </row>
    <row r="12" spans="2:15" x14ac:dyDescent="0.25">
      <c r="B12">
        <v>10.9</v>
      </c>
      <c r="C12" s="75">
        <f t="shared" si="0"/>
        <v>3.5779816513761467</v>
      </c>
      <c r="D12" s="40"/>
      <c r="E12" s="40"/>
      <c r="F12" s="40">
        <f t="shared" si="1"/>
        <v>72.2</v>
      </c>
      <c r="G12" s="40">
        <f t="shared" si="2"/>
        <v>40.230275229357794</v>
      </c>
      <c r="H12" s="40">
        <f t="shared" si="1"/>
        <v>72.2</v>
      </c>
      <c r="I12" s="40">
        <f t="shared" si="2"/>
        <v>40.230275229357794</v>
      </c>
      <c r="J12" s="40">
        <f>50.8/Fanin_Table[[#This Row],[FaninResistor]]</f>
        <v>4.6605504587155959</v>
      </c>
      <c r="K12" s="40">
        <f>-1.2 + 273/Fanin_Table[[#This Row],[FaninResistor]]</f>
        <v>23.845871559633029</v>
      </c>
      <c r="L12" s="40">
        <f>19.5/(Fanin_Table[[#This Row],[FaninResistor]]*1)</f>
        <v>1.7889908256880733</v>
      </c>
      <c r="N12" t="s">
        <v>267</v>
      </c>
    </row>
    <row r="13" spans="2:15" x14ac:dyDescent="0.25">
      <c r="B13">
        <v>11</v>
      </c>
      <c r="C13" s="75">
        <f t="shared" si="0"/>
        <v>3.5454545454545454</v>
      </c>
      <c r="D13" s="40"/>
      <c r="E13" s="40"/>
      <c r="F13" s="40">
        <f t="shared" si="1"/>
        <v>72.2</v>
      </c>
      <c r="G13" s="40">
        <f t="shared" si="2"/>
        <v>39.868181818181817</v>
      </c>
      <c r="H13" s="40">
        <f t="shared" si="1"/>
        <v>72.2</v>
      </c>
      <c r="I13" s="40">
        <f t="shared" si="2"/>
        <v>39.868181818181817</v>
      </c>
      <c r="J13" s="40">
        <f>50.8/Fanin_Table[[#This Row],[FaninResistor]]</f>
        <v>4.6181818181818182</v>
      </c>
      <c r="K13" s="40">
        <f>-1.2 + 273/Fanin_Table[[#This Row],[FaninResistor]]</f>
        <v>23.618181818181817</v>
      </c>
      <c r="L13" s="40">
        <f>19.5/(Fanin_Table[[#This Row],[FaninResistor]]*1)</f>
        <v>1.7727272727272727</v>
      </c>
      <c r="N13" s="33" t="s">
        <v>269</v>
      </c>
      <c r="O13" s="40"/>
    </row>
    <row r="14" spans="2:15" x14ac:dyDescent="0.25">
      <c r="B14">
        <v>11.1</v>
      </c>
      <c r="C14" s="75">
        <f t="shared" si="0"/>
        <v>3.5135135135135136</v>
      </c>
      <c r="D14" s="40"/>
      <c r="E14" s="40"/>
      <c r="F14" s="40">
        <f t="shared" si="1"/>
        <v>72.2</v>
      </c>
      <c r="G14" s="40">
        <f t="shared" si="2"/>
        <v>39.512612612612614</v>
      </c>
      <c r="H14" s="40">
        <f t="shared" si="1"/>
        <v>72.2</v>
      </c>
      <c r="I14" s="40">
        <f t="shared" si="2"/>
        <v>39.512612612612614</v>
      </c>
      <c r="J14" s="40">
        <f>50.8/Fanin_Table[[#This Row],[FaninResistor]]</f>
        <v>4.5765765765765769</v>
      </c>
      <c r="K14" s="40">
        <f>-1.2 + 273/Fanin_Table[[#This Row],[FaninResistor]]</f>
        <v>23.394594594594597</v>
      </c>
      <c r="L14" s="40">
        <f>19.5/(Fanin_Table[[#This Row],[FaninResistor]]*1)</f>
        <v>1.7567567567567568</v>
      </c>
      <c r="N14" s="33" t="s">
        <v>268</v>
      </c>
    </row>
    <row r="15" spans="2:15" x14ac:dyDescent="0.25">
      <c r="B15">
        <v>11.3</v>
      </c>
      <c r="C15" s="75">
        <f t="shared" si="0"/>
        <v>3.4513274336283182</v>
      </c>
      <c r="D15" s="40"/>
      <c r="E15" s="40"/>
      <c r="F15" s="40">
        <f t="shared" si="1"/>
        <v>72.2</v>
      </c>
      <c r="G15" s="40">
        <f t="shared" si="2"/>
        <v>38.82035398230088</v>
      </c>
      <c r="H15" s="40">
        <f t="shared" si="1"/>
        <v>72.2</v>
      </c>
      <c r="I15" s="40">
        <f t="shared" si="2"/>
        <v>38.82035398230088</v>
      </c>
      <c r="J15" s="40">
        <f>50.8/Fanin_Table[[#This Row],[FaninResistor]]</f>
        <v>4.4955752212389379</v>
      </c>
      <c r="K15" s="40">
        <f>-1.2 + 273/Fanin_Table[[#This Row],[FaninResistor]]</f>
        <v>22.959292035398228</v>
      </c>
      <c r="L15" s="40">
        <f>19.5/(Fanin_Table[[#This Row],[FaninResistor]]*1)</f>
        <v>1.7256637168141591</v>
      </c>
    </row>
    <row r="16" spans="2:15" x14ac:dyDescent="0.25">
      <c r="B16">
        <v>11.4</v>
      </c>
      <c r="C16" s="75">
        <f t="shared" si="0"/>
        <v>3.4210526315789473</v>
      </c>
      <c r="D16" s="40"/>
      <c r="E16" s="40"/>
      <c r="F16" s="40">
        <f t="shared" si="1"/>
        <v>72.2</v>
      </c>
      <c r="G16" s="40">
        <f t="shared" si="2"/>
        <v>38.483333333333327</v>
      </c>
      <c r="H16" s="40">
        <f t="shared" si="1"/>
        <v>72.2</v>
      </c>
      <c r="I16" s="40">
        <f t="shared" si="2"/>
        <v>38.483333333333327</v>
      </c>
      <c r="J16" s="40">
        <f>50.8/Fanin_Table[[#This Row],[FaninResistor]]</f>
        <v>4.4561403508771926</v>
      </c>
      <c r="K16" s="40">
        <f>-1.2 + 273/Fanin_Table[[#This Row],[FaninResistor]]</f>
        <v>22.747368421052631</v>
      </c>
      <c r="L16" s="40">
        <f>19.5/(Fanin_Table[[#This Row],[FaninResistor]]*1)</f>
        <v>1.7105263157894737</v>
      </c>
    </row>
    <row r="17" spans="2:17" x14ac:dyDescent="0.25">
      <c r="B17">
        <v>11.5</v>
      </c>
      <c r="C17" s="75">
        <f t="shared" si="0"/>
        <v>3.3913043478260869</v>
      </c>
      <c r="D17" s="40"/>
      <c r="E17" s="40"/>
      <c r="F17" s="40">
        <f t="shared" si="1"/>
        <v>72.2</v>
      </c>
      <c r="G17" s="40">
        <f t="shared" si="2"/>
        <v>38.152173913043477</v>
      </c>
      <c r="H17" s="40">
        <f t="shared" si="1"/>
        <v>72.2</v>
      </c>
      <c r="I17" s="40">
        <f t="shared" si="2"/>
        <v>38.152173913043477</v>
      </c>
      <c r="J17" s="40">
        <f>50.8/Fanin_Table[[#This Row],[FaninResistor]]</f>
        <v>4.4173913043478255</v>
      </c>
      <c r="K17" s="40">
        <f>-1.2 + 273/Fanin_Table[[#This Row],[FaninResistor]]</f>
        <v>22.53913043478261</v>
      </c>
      <c r="L17" s="40">
        <f>19.5/(Fanin_Table[[#This Row],[FaninResistor]]*1)</f>
        <v>1.6956521739130435</v>
      </c>
    </row>
    <row r="18" spans="2:17" x14ac:dyDescent="0.25">
      <c r="B18">
        <v>11.7</v>
      </c>
      <c r="C18" s="75">
        <f t="shared" si="0"/>
        <v>3.3333333333333335</v>
      </c>
      <c r="D18" s="40"/>
      <c r="E18" s="40"/>
      <c r="F18" s="40">
        <f t="shared" si="1"/>
        <v>72.2</v>
      </c>
      <c r="G18" s="40">
        <f t="shared" si="2"/>
        <v>37.506837606837607</v>
      </c>
      <c r="H18" s="40">
        <f t="shared" si="1"/>
        <v>72.2</v>
      </c>
      <c r="I18" s="40">
        <f t="shared" si="2"/>
        <v>37.506837606837607</v>
      </c>
      <c r="J18" s="40">
        <f>50.8/Fanin_Table[[#This Row],[FaninResistor]]</f>
        <v>4.3418803418803416</v>
      </c>
      <c r="K18" s="40">
        <f>-1.2 + 273/Fanin_Table[[#This Row],[FaninResistor]]</f>
        <v>22.133333333333336</v>
      </c>
      <c r="L18" s="40">
        <f>19.5/(Fanin_Table[[#This Row],[FaninResistor]]*1)</f>
        <v>1.6666666666666667</v>
      </c>
      <c r="N18" s="33" t="s">
        <v>388</v>
      </c>
    </row>
    <row r="19" spans="2:17" x14ac:dyDescent="0.25">
      <c r="B19">
        <v>11.8</v>
      </c>
      <c r="C19" s="75">
        <f t="shared" si="0"/>
        <v>3.3050847457627115</v>
      </c>
      <c r="D19" s="40"/>
      <c r="E19" s="40"/>
      <c r="F19" s="40">
        <f t="shared" si="1"/>
        <v>72.2</v>
      </c>
      <c r="G19" s="40">
        <f t="shared" si="2"/>
        <v>37.192372881355929</v>
      </c>
      <c r="H19" s="40">
        <f t="shared" si="1"/>
        <v>72.2</v>
      </c>
      <c r="I19" s="40">
        <f t="shared" si="2"/>
        <v>37.192372881355929</v>
      </c>
      <c r="J19" s="40">
        <f>50.8/Fanin_Table[[#This Row],[FaninResistor]]</f>
        <v>4.3050847457627111</v>
      </c>
      <c r="K19" s="40">
        <f>-1.2 + 273/Fanin_Table[[#This Row],[FaninResistor]]</f>
        <v>21.935593220338983</v>
      </c>
      <c r="L19" s="40">
        <f>19.5/(Fanin_Table[[#This Row],[FaninResistor]]*1)</f>
        <v>1.6525423728813557</v>
      </c>
      <c r="N19">
        <v>20</v>
      </c>
    </row>
    <row r="20" spans="2:17" x14ac:dyDescent="0.25">
      <c r="B20">
        <v>12</v>
      </c>
      <c r="C20" s="75">
        <f t="shared" si="0"/>
        <v>3.25</v>
      </c>
      <c r="D20" s="40"/>
      <c r="E20" s="40"/>
      <c r="F20" s="40">
        <f t="shared" si="1"/>
        <v>72.2</v>
      </c>
      <c r="G20" s="40">
        <f t="shared" si="2"/>
        <v>36.579166666666666</v>
      </c>
      <c r="H20" s="40">
        <f t="shared" si="1"/>
        <v>72.2</v>
      </c>
      <c r="I20" s="40">
        <f t="shared" si="2"/>
        <v>36.579166666666666</v>
      </c>
      <c r="J20" s="40">
        <f>50.8/Fanin_Table[[#This Row],[FaninResistor]]</f>
        <v>4.2333333333333334</v>
      </c>
      <c r="K20" s="40">
        <f>-1.2 + 273/Fanin_Table[[#This Row],[FaninResistor]]</f>
        <v>21.55</v>
      </c>
      <c r="L20" s="40">
        <f>19.5/(Fanin_Table[[#This Row],[FaninResistor]]*1)</f>
        <v>1.625</v>
      </c>
      <c r="N20">
        <v>21</v>
      </c>
    </row>
    <row r="21" spans="2:17" x14ac:dyDescent="0.25">
      <c r="B21">
        <v>12.1</v>
      </c>
      <c r="C21" s="75">
        <f t="shared" si="0"/>
        <v>3.2231404958677685</v>
      </c>
      <c r="D21" s="40"/>
      <c r="E21" s="40"/>
      <c r="F21" s="40">
        <f t="shared" si="1"/>
        <v>72.2</v>
      </c>
      <c r="G21" s="40">
        <f t="shared" si="2"/>
        <v>36.280165289256196</v>
      </c>
      <c r="H21" s="40">
        <f t="shared" si="1"/>
        <v>72.2</v>
      </c>
      <c r="I21" s="40">
        <f t="shared" si="2"/>
        <v>36.280165289256196</v>
      </c>
      <c r="J21" s="40">
        <f>50.8/Fanin_Table[[#This Row],[FaninResistor]]</f>
        <v>4.1983471074380168</v>
      </c>
      <c r="K21" s="40">
        <f>-1.2 + 273/Fanin_Table[[#This Row],[FaninResistor]]</f>
        <v>21.361983471074382</v>
      </c>
      <c r="L21" s="40">
        <f>19.5/(Fanin_Table[[#This Row],[FaninResistor]]*1)</f>
        <v>1.6115702479338843</v>
      </c>
      <c r="N21">
        <v>22</v>
      </c>
    </row>
    <row r="22" spans="2:17" x14ac:dyDescent="0.25">
      <c r="B22">
        <v>12.3</v>
      </c>
      <c r="C22" s="75">
        <f t="shared" si="0"/>
        <v>3.1707317073170729</v>
      </c>
      <c r="D22" s="40"/>
      <c r="E22" s="40"/>
      <c r="F22" s="40">
        <f t="shared" si="1"/>
        <v>72.2</v>
      </c>
      <c r="G22" s="40">
        <f t="shared" si="2"/>
        <v>35.696747967479666</v>
      </c>
      <c r="H22" s="40">
        <f t="shared" si="1"/>
        <v>72.2</v>
      </c>
      <c r="I22" s="40">
        <f t="shared" si="2"/>
        <v>35.696747967479666</v>
      </c>
      <c r="J22" s="40">
        <f>50.8/Fanin_Table[[#This Row],[FaninResistor]]</f>
        <v>4.1300813008130079</v>
      </c>
      <c r="K22" s="40">
        <f>-1.2 + 273/Fanin_Table[[#This Row],[FaninResistor]]</f>
        <v>20.995121951219513</v>
      </c>
      <c r="L22" s="40">
        <f>19.5/(Fanin_Table[[#This Row],[FaninResistor]]*1)</f>
        <v>1.5853658536585364</v>
      </c>
      <c r="N22">
        <v>23</v>
      </c>
    </row>
    <row r="23" spans="2:17" x14ac:dyDescent="0.25">
      <c r="B23">
        <v>12.4</v>
      </c>
      <c r="C23" s="75">
        <f t="shared" si="0"/>
        <v>3.1451612903225805</v>
      </c>
      <c r="D23" s="40"/>
      <c r="E23" s="40"/>
      <c r="F23" s="40">
        <f t="shared" si="1"/>
        <v>72.2</v>
      </c>
      <c r="G23" s="40">
        <f t="shared" si="2"/>
        <v>35.412096774193543</v>
      </c>
      <c r="H23" s="40">
        <f t="shared" si="1"/>
        <v>72.2</v>
      </c>
      <c r="I23" s="40">
        <f t="shared" si="2"/>
        <v>35.412096774193543</v>
      </c>
      <c r="J23" s="40">
        <f>50.8/Fanin_Table[[#This Row],[FaninResistor]]</f>
        <v>4.096774193548387</v>
      </c>
      <c r="K23" s="40">
        <f>-1.2 + 273/Fanin_Table[[#This Row],[FaninResistor]]</f>
        <v>20.816129032258065</v>
      </c>
      <c r="L23" s="40">
        <f>19.5/(Fanin_Table[[#This Row],[FaninResistor]]*1)</f>
        <v>1.5725806451612903</v>
      </c>
      <c r="N23">
        <v>24</v>
      </c>
    </row>
    <row r="24" spans="2:17" x14ac:dyDescent="0.25">
      <c r="B24">
        <v>12.6</v>
      </c>
      <c r="C24" s="75">
        <f t="shared" si="0"/>
        <v>3.0952380952380953</v>
      </c>
      <c r="D24" s="40"/>
      <c r="E24" s="40"/>
      <c r="F24" s="40">
        <f t="shared" si="1"/>
        <v>72.2</v>
      </c>
      <c r="G24" s="40">
        <f t="shared" si="2"/>
        <v>34.856349206349201</v>
      </c>
      <c r="H24" s="40">
        <f t="shared" si="1"/>
        <v>72.2</v>
      </c>
      <c r="I24" s="40">
        <f t="shared" si="2"/>
        <v>34.856349206349201</v>
      </c>
      <c r="J24" s="40">
        <f>50.8/Fanin_Table[[#This Row],[FaninResistor]]</f>
        <v>4.0317460317460316</v>
      </c>
      <c r="K24" s="40">
        <f>-1.2 + 273/Fanin_Table[[#This Row],[FaninResistor]]</f>
        <v>20.466666666666669</v>
      </c>
      <c r="L24" s="40">
        <f>19.5/(Fanin_Table[[#This Row],[FaninResistor]]*1)</f>
        <v>1.5476190476190477</v>
      </c>
      <c r="N24">
        <v>25</v>
      </c>
      <c r="P24" s="33"/>
      <c r="Q24" s="33"/>
    </row>
    <row r="25" spans="2:17" x14ac:dyDescent="0.25">
      <c r="B25" s="33">
        <v>12.7</v>
      </c>
      <c r="C25" s="75">
        <f t="shared" si="0"/>
        <v>3.0708661417322838</v>
      </c>
      <c r="D25" s="40"/>
      <c r="E25" s="40"/>
      <c r="F25" s="40">
        <f t="shared" si="1"/>
        <v>72.2</v>
      </c>
      <c r="G25" s="40">
        <f t="shared" si="2"/>
        <v>34.585039370078739</v>
      </c>
      <c r="H25" s="40">
        <f t="shared" si="1"/>
        <v>72.2</v>
      </c>
      <c r="I25" s="40">
        <f t="shared" si="2"/>
        <v>34.585039370078739</v>
      </c>
      <c r="J25" s="40">
        <f>50.8/Fanin_Table[[#This Row],[FaninResistor]]</f>
        <v>4</v>
      </c>
      <c r="K25" s="40">
        <f>-1.2 + 273/Fanin_Table[[#This Row],[FaninResistor]]</f>
        <v>20.296062992125986</v>
      </c>
      <c r="L25" s="40">
        <f>19.5/(Fanin_Table[[#This Row],[FaninResistor]]*1)</f>
        <v>1.5354330708661419</v>
      </c>
      <c r="N25">
        <v>26</v>
      </c>
    </row>
    <row r="26" spans="2:17" x14ac:dyDescent="0.25">
      <c r="B26" s="33">
        <v>12.9</v>
      </c>
      <c r="C26" s="75">
        <f t="shared" si="0"/>
        <v>3.0232558139534884</v>
      </c>
      <c r="D26" s="40"/>
      <c r="E26" s="40"/>
      <c r="F26" s="40">
        <f t="shared" si="1"/>
        <v>72.2</v>
      </c>
      <c r="G26" s="40">
        <f t="shared" si="2"/>
        <v>34.055038759689921</v>
      </c>
      <c r="H26" s="40">
        <f t="shared" si="1"/>
        <v>72.2</v>
      </c>
      <c r="I26" s="40">
        <f t="shared" si="2"/>
        <v>34.055038759689921</v>
      </c>
      <c r="J26" s="40">
        <f>50.8/Fanin_Table[[#This Row],[FaninResistor]]</f>
        <v>3.9379844961240309</v>
      </c>
      <c r="K26" s="40">
        <f>-1.2 + 273/Fanin_Table[[#This Row],[FaninResistor]]</f>
        <v>19.962790697674418</v>
      </c>
      <c r="L26" s="40">
        <f>19.5/(Fanin_Table[[#This Row],[FaninResistor]]*1)</f>
        <v>1.5116279069767442</v>
      </c>
      <c r="N26">
        <v>27</v>
      </c>
    </row>
    <row r="27" spans="2:17" x14ac:dyDescent="0.25">
      <c r="B27" s="33">
        <v>13</v>
      </c>
      <c r="C27" s="75">
        <f t="shared" si="0"/>
        <v>3</v>
      </c>
      <c r="D27" s="40"/>
      <c r="E27" s="40"/>
      <c r="F27" s="40">
        <f t="shared" si="1"/>
        <v>72.2</v>
      </c>
      <c r="G27" s="40">
        <f t="shared" si="2"/>
        <v>33.796153846153842</v>
      </c>
      <c r="H27" s="40">
        <f t="shared" si="1"/>
        <v>72.2</v>
      </c>
      <c r="I27" s="40">
        <f t="shared" si="2"/>
        <v>33.796153846153842</v>
      </c>
      <c r="J27" s="40">
        <f>50.8/Fanin_Table[[#This Row],[FaninResistor]]</f>
        <v>3.9076923076923076</v>
      </c>
      <c r="K27" s="40">
        <f>-1.2 + 273/Fanin_Table[[#This Row],[FaninResistor]]</f>
        <v>19.8</v>
      </c>
      <c r="L27" s="40">
        <f>19.5/(Fanin_Table[[#This Row],[FaninResistor]]*1)</f>
        <v>1.5</v>
      </c>
      <c r="N27">
        <v>28</v>
      </c>
    </row>
    <row r="28" spans="2:17" x14ac:dyDescent="0.25">
      <c r="B28">
        <v>13.2</v>
      </c>
      <c r="C28" s="75">
        <f t="shared" si="0"/>
        <v>2.9545454545454546</v>
      </c>
      <c r="D28" s="40"/>
      <c r="E28" s="40"/>
      <c r="F28" s="40">
        <f t="shared" si="1"/>
        <v>72.2</v>
      </c>
      <c r="G28" s="40">
        <f t="shared" si="2"/>
        <v>33.290151515151514</v>
      </c>
      <c r="H28" s="40">
        <f t="shared" si="1"/>
        <v>72.2</v>
      </c>
      <c r="I28" s="40">
        <f t="shared" si="2"/>
        <v>33.290151515151514</v>
      </c>
      <c r="J28" s="40">
        <f>50.8/Fanin_Table[[#This Row],[FaninResistor]]</f>
        <v>3.8484848484848486</v>
      </c>
      <c r="K28" s="40">
        <f>-1.2 + 273/Fanin_Table[[#This Row],[FaninResistor]]</f>
        <v>19.481818181818184</v>
      </c>
      <c r="L28" s="40">
        <f>19.5/(Fanin_Table[[#This Row],[FaninResistor]]*1)</f>
        <v>1.4772727272727273</v>
      </c>
      <c r="N28">
        <v>29</v>
      </c>
    </row>
    <row r="29" spans="2:17" x14ac:dyDescent="0.25">
      <c r="B29">
        <v>13.3</v>
      </c>
      <c r="C29" s="75">
        <f t="shared" si="0"/>
        <v>2.9323308270676689</v>
      </c>
      <c r="D29" s="40"/>
      <c r="E29" s="40"/>
      <c r="F29" s="40">
        <f t="shared" si="1"/>
        <v>72.2</v>
      </c>
      <c r="G29" s="40">
        <f t="shared" si="2"/>
        <v>33.042857142857137</v>
      </c>
      <c r="H29" s="40">
        <f t="shared" si="1"/>
        <v>72.2</v>
      </c>
      <c r="I29" s="40">
        <f t="shared" si="2"/>
        <v>33.042857142857137</v>
      </c>
      <c r="J29" s="40">
        <f>50.8/Fanin_Table[[#This Row],[FaninResistor]]</f>
        <v>3.8195488721804507</v>
      </c>
      <c r="K29" s="40">
        <f>-1.2 + 273/Fanin_Table[[#This Row],[FaninResistor]]</f>
        <v>19.326315789473682</v>
      </c>
      <c r="L29" s="40">
        <f>19.5/(Fanin_Table[[#This Row],[FaninResistor]]*1)</f>
        <v>1.4661654135338344</v>
      </c>
      <c r="N29">
        <v>30</v>
      </c>
    </row>
    <row r="30" spans="2:17" x14ac:dyDescent="0.25">
      <c r="B30">
        <v>13.5</v>
      </c>
      <c r="C30" s="75">
        <f t="shared" si="0"/>
        <v>2.8888888888888888</v>
      </c>
      <c r="D30" s="40"/>
      <c r="E30" s="40"/>
      <c r="F30" s="40">
        <f t="shared" si="1"/>
        <v>71.370370370370381</v>
      </c>
      <c r="G30" s="40">
        <f t="shared" si="2"/>
        <v>32.559259259259257</v>
      </c>
      <c r="H30" s="40">
        <f t="shared" si="1"/>
        <v>71.370370370370381</v>
      </c>
      <c r="I30" s="40">
        <f t="shared" si="2"/>
        <v>32.559259259259257</v>
      </c>
      <c r="J30" s="40">
        <f>50.8/Fanin_Table[[#This Row],[FaninResistor]]</f>
        <v>3.7629629629629626</v>
      </c>
      <c r="K30" s="40">
        <f>-1.2 + 273/Fanin_Table[[#This Row],[FaninResistor]]</f>
        <v>19.022222222222222</v>
      </c>
      <c r="L30" s="40">
        <f>19.5/(Fanin_Table[[#This Row],[FaninResistor]]*1)</f>
        <v>1.4444444444444444</v>
      </c>
    </row>
    <row r="31" spans="2:17" x14ac:dyDescent="0.25">
      <c r="B31">
        <v>13.7</v>
      </c>
      <c r="C31" s="75">
        <f t="shared" si="0"/>
        <v>2.8467153284671536</v>
      </c>
      <c r="D31" s="40"/>
      <c r="E31" s="40"/>
      <c r="F31" s="40">
        <f t="shared" si="1"/>
        <v>70.34306569343066</v>
      </c>
      <c r="G31" s="40">
        <f t="shared" si="2"/>
        <v>32.089781021897814</v>
      </c>
      <c r="H31" s="40">
        <f t="shared" si="1"/>
        <v>70.34306569343066</v>
      </c>
      <c r="I31" s="40">
        <f t="shared" si="2"/>
        <v>32.089781021897814</v>
      </c>
      <c r="J31" s="40">
        <f>50.8/Fanin_Table[[#This Row],[FaninResistor]]</f>
        <v>3.7080291970802919</v>
      </c>
      <c r="K31" s="40">
        <f>-1.2 + 273/Fanin_Table[[#This Row],[FaninResistor]]</f>
        <v>18.727007299270074</v>
      </c>
      <c r="L31" s="40">
        <f>19.5/(Fanin_Table[[#This Row],[FaninResistor]]*1)</f>
        <v>1.4233576642335768</v>
      </c>
    </row>
    <row r="32" spans="2:17" x14ac:dyDescent="0.25">
      <c r="B32">
        <v>13.8</v>
      </c>
      <c r="C32" s="75">
        <f t="shared" si="0"/>
        <v>2.8260869565217388</v>
      </c>
      <c r="D32" s="40"/>
      <c r="E32" s="40"/>
      <c r="F32" s="40">
        <f t="shared" si="1"/>
        <v>69.840579710144922</v>
      </c>
      <c r="G32" s="40">
        <f t="shared" si="2"/>
        <v>31.860144927536226</v>
      </c>
      <c r="H32" s="40">
        <f t="shared" si="1"/>
        <v>69.840579710144922</v>
      </c>
      <c r="I32" s="40">
        <f t="shared" si="2"/>
        <v>31.860144927536226</v>
      </c>
      <c r="J32" s="40">
        <f>50.8/Fanin_Table[[#This Row],[FaninResistor]]</f>
        <v>3.6811594202898545</v>
      </c>
      <c r="K32" s="40">
        <f>-1.2 + 273/Fanin_Table[[#This Row],[FaninResistor]]</f>
        <v>18.582608695652173</v>
      </c>
      <c r="L32" s="40">
        <f>19.5/(Fanin_Table[[#This Row],[FaninResistor]]*1)</f>
        <v>1.4130434782608694</v>
      </c>
    </row>
    <row r="33" spans="2:16" x14ac:dyDescent="0.25">
      <c r="B33">
        <v>14</v>
      </c>
      <c r="C33" s="75">
        <f t="shared" si="0"/>
        <v>2.7857142857142856</v>
      </c>
      <c r="D33" s="40"/>
      <c r="E33" s="40"/>
      <c r="F33" s="40">
        <f t="shared" si="1"/>
        <v>68.857142857142847</v>
      </c>
      <c r="G33" s="40">
        <f t="shared" si="2"/>
        <v>31.410714285714281</v>
      </c>
      <c r="H33" s="40">
        <f t="shared" si="1"/>
        <v>68.857142857142847</v>
      </c>
      <c r="I33" s="40">
        <f t="shared" si="2"/>
        <v>31.410714285714281</v>
      </c>
      <c r="J33" s="40">
        <f>50.8/Fanin_Table[[#This Row],[FaninResistor]]</f>
        <v>3.6285714285714286</v>
      </c>
      <c r="K33" s="40">
        <f>-1.2 + 273/Fanin_Table[[#This Row],[FaninResistor]]</f>
        <v>18.3</v>
      </c>
      <c r="L33" s="40">
        <f>19.5/(Fanin_Table[[#This Row],[FaninResistor]]*1)</f>
        <v>1.3928571428571428</v>
      </c>
    </row>
    <row r="34" spans="2:16" x14ac:dyDescent="0.25">
      <c r="B34">
        <v>14.2</v>
      </c>
      <c r="C34" s="75">
        <f t="shared" si="0"/>
        <v>2.746478873239437</v>
      </c>
      <c r="D34" s="40"/>
      <c r="E34" s="40"/>
      <c r="F34" s="40">
        <f t="shared" si="1"/>
        <v>67.901408450704224</v>
      </c>
      <c r="G34" s="40">
        <f t="shared" si="2"/>
        <v>30.97394366197183</v>
      </c>
      <c r="H34" s="40">
        <f t="shared" si="1"/>
        <v>67.901408450704224</v>
      </c>
      <c r="I34" s="40">
        <f t="shared" si="2"/>
        <v>30.97394366197183</v>
      </c>
      <c r="J34" s="40">
        <f>50.8/Fanin_Table[[#This Row],[FaninResistor]]</f>
        <v>3.5774647887323945</v>
      </c>
      <c r="K34" s="40">
        <f>-1.2 + 273/Fanin_Table[[#This Row],[FaninResistor]]</f>
        <v>18.025352112676057</v>
      </c>
      <c r="L34" s="40">
        <f>19.5/(Fanin_Table[[#This Row],[FaninResistor]]*1)</f>
        <v>1.3732394366197185</v>
      </c>
    </row>
    <row r="35" spans="2:16" x14ac:dyDescent="0.25">
      <c r="B35">
        <v>14.3</v>
      </c>
      <c r="C35" s="75">
        <f t="shared" si="0"/>
        <v>2.7272727272727271</v>
      </c>
      <c r="D35" s="40"/>
      <c r="E35" s="40"/>
      <c r="F35" s="40">
        <f t="shared" si="1"/>
        <v>67.433566433566426</v>
      </c>
      <c r="G35" s="40">
        <f t="shared" si="2"/>
        <v>30.760139860139855</v>
      </c>
      <c r="H35" s="40">
        <f t="shared" si="1"/>
        <v>67.433566433566426</v>
      </c>
      <c r="I35" s="40">
        <f t="shared" si="2"/>
        <v>30.760139860139855</v>
      </c>
      <c r="J35" s="40">
        <f>50.8/Fanin_Table[[#This Row],[FaninResistor]]</f>
        <v>3.5524475524475521</v>
      </c>
      <c r="K35" s="40">
        <f>-1.2 + 273/Fanin_Table[[#This Row],[FaninResistor]]</f>
        <v>17.890909090909091</v>
      </c>
      <c r="L35" s="40">
        <f>19.5/(Fanin_Table[[#This Row],[FaninResistor]]*1)</f>
        <v>1.3636363636363635</v>
      </c>
      <c r="P35" s="79"/>
    </row>
    <row r="36" spans="2:16" x14ac:dyDescent="0.25">
      <c r="B36">
        <v>14.5</v>
      </c>
      <c r="C36" s="75">
        <f t="shared" si="0"/>
        <v>2.6896551724137931</v>
      </c>
      <c r="D36" s="40"/>
      <c r="E36" s="40"/>
      <c r="F36" s="40">
        <f t="shared" si="1"/>
        <v>66.517241379310349</v>
      </c>
      <c r="G36" s="40">
        <f t="shared" si="2"/>
        <v>30.341379310344823</v>
      </c>
      <c r="H36" s="40">
        <f t="shared" si="1"/>
        <v>66.517241379310349</v>
      </c>
      <c r="I36" s="40">
        <f t="shared" si="2"/>
        <v>30.341379310344823</v>
      </c>
      <c r="J36" s="40">
        <f>50.8/Fanin_Table[[#This Row],[FaninResistor]]</f>
        <v>3.5034482758620689</v>
      </c>
      <c r="K36" s="40">
        <f>-1.2 + 273/Fanin_Table[[#This Row],[FaninResistor]]</f>
        <v>17.627586206896552</v>
      </c>
      <c r="L36" s="40">
        <f>19.5/(Fanin_Table[[#This Row],[FaninResistor]]*1)</f>
        <v>1.3448275862068966</v>
      </c>
    </row>
    <row r="37" spans="2:16" x14ac:dyDescent="0.25">
      <c r="B37" s="33">
        <v>14.7</v>
      </c>
      <c r="C37" s="75">
        <f t="shared" si="0"/>
        <v>2.6530612244897962</v>
      </c>
      <c r="D37" s="40"/>
      <c r="E37" s="40"/>
      <c r="F37" s="40">
        <f t="shared" si="1"/>
        <v>65.625850340136054</v>
      </c>
      <c r="G37" s="40">
        <f t="shared" si="2"/>
        <v>29.934013605442175</v>
      </c>
      <c r="H37" s="40">
        <f t="shared" si="1"/>
        <v>65.625850340136054</v>
      </c>
      <c r="I37" s="40">
        <f t="shared" si="2"/>
        <v>29.934013605442175</v>
      </c>
      <c r="J37" s="40">
        <f>50.8/Fanin_Table[[#This Row],[FaninResistor]]</f>
        <v>3.4557823129251699</v>
      </c>
      <c r="K37" s="40">
        <f>-1.2 + 273/Fanin_Table[[#This Row],[FaninResistor]]</f>
        <v>17.371428571428574</v>
      </c>
      <c r="L37" s="40">
        <f>19.5/(Fanin_Table[[#This Row],[FaninResistor]]*1)</f>
        <v>1.3265306122448981</v>
      </c>
    </row>
    <row r="38" spans="2:16" x14ac:dyDescent="0.25">
      <c r="B38">
        <v>14.9</v>
      </c>
      <c r="C38" s="75">
        <f t="shared" si="0"/>
        <v>2.6174496644295302</v>
      </c>
      <c r="D38" s="40"/>
      <c r="E38" s="40"/>
      <c r="F38" s="40">
        <f t="shared" si="1"/>
        <v>64.758389261744966</v>
      </c>
      <c r="G38" s="40">
        <f t="shared" si="2"/>
        <v>29.537583892617445</v>
      </c>
      <c r="H38" s="40">
        <f t="shared" si="1"/>
        <v>64.758389261744966</v>
      </c>
      <c r="I38" s="40">
        <f t="shared" si="2"/>
        <v>29.537583892617445</v>
      </c>
      <c r="J38" s="40">
        <f>50.8/Fanin_Table[[#This Row],[FaninResistor]]</f>
        <v>3.4093959731543619</v>
      </c>
      <c r="K38" s="40">
        <f>-1.2 + 273/Fanin_Table[[#This Row],[FaninResistor]]</f>
        <v>17.122147651006713</v>
      </c>
      <c r="L38" s="40">
        <f>19.5/(Fanin_Table[[#This Row],[FaninResistor]]*1)</f>
        <v>1.3087248322147651</v>
      </c>
    </row>
    <row r="39" spans="2:16" x14ac:dyDescent="0.25">
      <c r="B39">
        <v>15</v>
      </c>
      <c r="C39" s="75">
        <f t="shared" si="0"/>
        <v>2.6</v>
      </c>
      <c r="D39" s="40"/>
      <c r="E39" s="40"/>
      <c r="F39" s="40">
        <f t="shared" si="1"/>
        <v>64.333333333333343</v>
      </c>
      <c r="G39" s="40">
        <f t="shared" si="2"/>
        <v>29.34333333333333</v>
      </c>
      <c r="H39" s="40">
        <f t="shared" si="1"/>
        <v>64.333333333333343</v>
      </c>
      <c r="I39" s="40">
        <f t="shared" si="2"/>
        <v>29.34333333333333</v>
      </c>
      <c r="J39" s="40">
        <f>50.8/Fanin_Table[[#This Row],[FaninResistor]]</f>
        <v>3.3866666666666663</v>
      </c>
      <c r="K39" s="40">
        <f>-1.2 + 273/Fanin_Table[[#This Row],[FaninResistor]]</f>
        <v>17</v>
      </c>
      <c r="L39" s="40">
        <f>19.5/(Fanin_Table[[#This Row],[FaninResistor]]*1)</f>
        <v>1.3</v>
      </c>
    </row>
    <row r="40" spans="2:16" x14ac:dyDescent="0.25">
      <c r="B40">
        <v>15.2</v>
      </c>
      <c r="C40" s="75">
        <f t="shared" si="0"/>
        <v>2.5657894736842106</v>
      </c>
      <c r="D40" s="40"/>
      <c r="E40" s="40"/>
      <c r="F40" s="40">
        <f t="shared" si="1"/>
        <v>63.5</v>
      </c>
      <c r="G40" s="40">
        <f t="shared" si="2"/>
        <v>28.962499999999999</v>
      </c>
      <c r="H40" s="40">
        <f t="shared" si="1"/>
        <v>63.5</v>
      </c>
      <c r="I40" s="40">
        <f t="shared" si="2"/>
        <v>28.962499999999999</v>
      </c>
      <c r="J40" s="40">
        <f>50.8/Fanin_Table[[#This Row],[FaninResistor]]</f>
        <v>3.3421052631578947</v>
      </c>
      <c r="K40" s="40">
        <f>-1.2 + 273/Fanin_Table[[#This Row],[FaninResistor]]</f>
        <v>16.760526315789477</v>
      </c>
      <c r="L40" s="40">
        <f>19.5/(Fanin_Table[[#This Row],[FaninResistor]]*1)</f>
        <v>1.2828947368421053</v>
      </c>
    </row>
    <row r="41" spans="2:16" x14ac:dyDescent="0.25">
      <c r="B41">
        <v>15.4</v>
      </c>
      <c r="C41" s="75">
        <f t="shared" si="0"/>
        <v>2.5324675324675323</v>
      </c>
      <c r="D41" s="40"/>
      <c r="E41" s="40"/>
      <c r="F41" s="40">
        <f t="shared" si="1"/>
        <v>62.688311688311686</v>
      </c>
      <c r="G41" s="40">
        <f t="shared" si="2"/>
        <v>28.591558441558437</v>
      </c>
      <c r="H41" s="40">
        <f t="shared" si="1"/>
        <v>62.688311688311686</v>
      </c>
      <c r="I41" s="40">
        <f t="shared" si="2"/>
        <v>28.591558441558437</v>
      </c>
      <c r="J41" s="40">
        <f>50.8/Fanin_Table[[#This Row],[FaninResistor]]</f>
        <v>3.2987012987012982</v>
      </c>
      <c r="K41" s="40">
        <f>-1.2 + 273/Fanin_Table[[#This Row],[FaninResistor]]</f>
        <v>16.527272727272727</v>
      </c>
      <c r="L41" s="40">
        <f>19.5/(Fanin_Table[[#This Row],[FaninResistor]]*1)</f>
        <v>1.2662337662337662</v>
      </c>
    </row>
    <row r="42" spans="2:16" x14ac:dyDescent="0.25">
      <c r="B42">
        <v>15.6</v>
      </c>
      <c r="C42" s="75">
        <f t="shared" si="0"/>
        <v>2.5</v>
      </c>
      <c r="D42" s="40"/>
      <c r="E42" s="40"/>
      <c r="F42" s="40">
        <f t="shared" si="1"/>
        <v>61.897435897435898</v>
      </c>
      <c r="G42" s="40">
        <f t="shared" si="2"/>
        <v>28.230128205128203</v>
      </c>
      <c r="H42" s="40">
        <f t="shared" si="1"/>
        <v>61.897435897435898</v>
      </c>
      <c r="I42" s="40">
        <f t="shared" si="2"/>
        <v>28.230128205128203</v>
      </c>
      <c r="J42" s="40">
        <f>50.8/Fanin_Table[[#This Row],[FaninResistor]]</f>
        <v>3.2564102564102564</v>
      </c>
      <c r="K42" s="40">
        <f>-1.2 + 273/Fanin_Table[[#This Row],[FaninResistor]]</f>
        <v>16.3</v>
      </c>
      <c r="L42" s="40">
        <f>19.5/(Fanin_Table[[#This Row],[FaninResistor]]*1)</f>
        <v>1.25</v>
      </c>
    </row>
    <row r="43" spans="2:16" x14ac:dyDescent="0.25">
      <c r="B43">
        <v>15.8</v>
      </c>
      <c r="C43" s="75">
        <f t="shared" si="0"/>
        <v>2.4683544303797467</v>
      </c>
      <c r="D43" s="40"/>
      <c r="E43" s="40"/>
      <c r="F43" s="40">
        <f t="shared" si="1"/>
        <v>61.126582278481017</v>
      </c>
      <c r="G43" s="40">
        <f t="shared" si="2"/>
        <v>27.877848101265819</v>
      </c>
      <c r="H43" s="40">
        <f t="shared" si="1"/>
        <v>61.126582278481017</v>
      </c>
      <c r="I43" s="40">
        <f t="shared" si="2"/>
        <v>27.877848101265819</v>
      </c>
      <c r="J43" s="40">
        <f>50.8/Fanin_Table[[#This Row],[FaninResistor]]</f>
        <v>3.2151898734177213</v>
      </c>
      <c r="K43" s="40">
        <f>-1.2 + 273/Fanin_Table[[#This Row],[FaninResistor]]</f>
        <v>16.078481012658226</v>
      </c>
      <c r="L43" s="40">
        <f>19.5/(Fanin_Table[[#This Row],[FaninResistor]]*1)</f>
        <v>1.2341772151898733</v>
      </c>
    </row>
    <row r="44" spans="2:16" x14ac:dyDescent="0.25">
      <c r="B44">
        <v>16</v>
      </c>
      <c r="C44" s="75">
        <f t="shared" si="0"/>
        <v>2.4375</v>
      </c>
      <c r="D44" s="40"/>
      <c r="E44" s="40"/>
      <c r="F44" s="40">
        <f t="shared" si="1"/>
        <v>60.375</v>
      </c>
      <c r="G44" s="40">
        <f t="shared" si="2"/>
        <v>27.534374999999997</v>
      </c>
      <c r="H44" s="40">
        <f t="shared" si="1"/>
        <v>60.375</v>
      </c>
      <c r="I44" s="40">
        <f t="shared" si="2"/>
        <v>27.534374999999997</v>
      </c>
      <c r="J44" s="40">
        <f>50.8/Fanin_Table[[#This Row],[FaninResistor]]</f>
        <v>3.1749999999999998</v>
      </c>
      <c r="K44" s="40">
        <f>-1.2 + 273/Fanin_Table[[#This Row],[FaninResistor]]</f>
        <v>15.862500000000001</v>
      </c>
      <c r="L44" s="40">
        <f>19.5/(Fanin_Table[[#This Row],[FaninResistor]]*1)</f>
        <v>1.21875</v>
      </c>
    </row>
    <row r="45" spans="2:16" x14ac:dyDescent="0.25">
      <c r="B45">
        <v>16.2</v>
      </c>
      <c r="C45" s="75">
        <f t="shared" si="0"/>
        <v>2.4074074074074074</v>
      </c>
      <c r="D45" s="40"/>
      <c r="E45" s="40"/>
      <c r="F45" s="40">
        <f t="shared" si="1"/>
        <v>59.641975308641975</v>
      </c>
      <c r="G45" s="40">
        <f t="shared" si="2"/>
        <v>27.199382716049382</v>
      </c>
      <c r="H45" s="40">
        <f t="shared" si="1"/>
        <v>59.641975308641975</v>
      </c>
      <c r="I45" s="40">
        <f t="shared" si="2"/>
        <v>27.199382716049382</v>
      </c>
      <c r="J45" s="40">
        <f>50.8/Fanin_Table[[#This Row],[FaninResistor]]</f>
        <v>3.1358024691358026</v>
      </c>
      <c r="K45" s="40">
        <f>-1.2 + 273/Fanin_Table[[#This Row],[FaninResistor]]</f>
        <v>15.651851851851852</v>
      </c>
      <c r="L45" s="40">
        <f>19.5/(Fanin_Table[[#This Row],[FaninResistor]]*1)</f>
        <v>1.2037037037037037</v>
      </c>
    </row>
    <row r="46" spans="2:16" x14ac:dyDescent="0.25">
      <c r="B46">
        <v>16.399999999999999</v>
      </c>
      <c r="C46" s="75">
        <f t="shared" si="0"/>
        <v>2.3780487804878052</v>
      </c>
      <c r="D46" s="40"/>
      <c r="E46" s="40"/>
      <c r="F46" s="40">
        <f t="shared" si="1"/>
        <v>58.926829268292686</v>
      </c>
      <c r="G46" s="40">
        <f t="shared" si="2"/>
        <v>26.872560975609755</v>
      </c>
      <c r="H46" s="40">
        <f t="shared" si="1"/>
        <v>58.926829268292686</v>
      </c>
      <c r="I46" s="40">
        <f t="shared" si="2"/>
        <v>26.872560975609755</v>
      </c>
      <c r="J46" s="40">
        <f>50.8/Fanin_Table[[#This Row],[FaninResistor]]</f>
        <v>3.0975609756097562</v>
      </c>
      <c r="K46" s="40">
        <f>-1.2 + 273/Fanin_Table[[#This Row],[FaninResistor]]</f>
        <v>15.446341463414637</v>
      </c>
      <c r="L46" s="40">
        <f>19.5/(Fanin_Table[[#This Row],[FaninResistor]]*1)</f>
        <v>1.1890243902439026</v>
      </c>
    </row>
    <row r="47" spans="2:16" x14ac:dyDescent="0.25">
      <c r="B47">
        <v>16.5</v>
      </c>
      <c r="C47" s="75">
        <f t="shared" si="0"/>
        <v>2.3636363636363638</v>
      </c>
      <c r="D47" s="40"/>
      <c r="E47" s="40"/>
      <c r="F47" s="40">
        <f t="shared" si="1"/>
        <v>58.575757575757578</v>
      </c>
      <c r="G47" s="40">
        <f t="shared" si="2"/>
        <v>26.712121212121211</v>
      </c>
      <c r="H47" s="40">
        <f t="shared" si="1"/>
        <v>58.575757575757578</v>
      </c>
      <c r="I47" s="40">
        <f t="shared" si="2"/>
        <v>26.712121212121211</v>
      </c>
      <c r="J47" s="40">
        <f>50.8/Fanin_Table[[#This Row],[FaninResistor]]</f>
        <v>3.0787878787878786</v>
      </c>
      <c r="K47" s="40">
        <f>-1.2 + 273/Fanin_Table[[#This Row],[FaninResistor]]</f>
        <v>15.345454545454547</v>
      </c>
      <c r="L47" s="40">
        <f>19.5/(Fanin_Table[[#This Row],[FaninResistor]]*1)</f>
        <v>1.1818181818181819</v>
      </c>
    </row>
    <row r="48" spans="2:16" x14ac:dyDescent="0.25">
      <c r="B48">
        <v>16.7</v>
      </c>
      <c r="C48" s="75">
        <f t="shared" si="0"/>
        <v>2.3353293413173652</v>
      </c>
      <c r="D48" s="40"/>
      <c r="E48" s="40"/>
      <c r="F48" s="40">
        <f t="shared" si="1"/>
        <v>57.886227544910177</v>
      </c>
      <c r="G48" s="40">
        <f t="shared" si="2"/>
        <v>26.397005988023949</v>
      </c>
      <c r="H48" s="40">
        <f t="shared" si="1"/>
        <v>57.886227544910177</v>
      </c>
      <c r="I48" s="40">
        <f t="shared" si="2"/>
        <v>26.397005988023949</v>
      </c>
      <c r="J48" s="40">
        <f>50.8/Fanin_Table[[#This Row],[FaninResistor]]</f>
        <v>3.0419161676646707</v>
      </c>
      <c r="K48" s="40">
        <f>-1.2 + 273/Fanin_Table[[#This Row],[FaninResistor]]</f>
        <v>15.147305389221557</v>
      </c>
      <c r="L48" s="40">
        <f>19.5/(Fanin_Table[[#This Row],[FaninResistor]]*1)</f>
        <v>1.1676646706586826</v>
      </c>
    </row>
    <row r="49" spans="2:12" x14ac:dyDescent="0.25">
      <c r="B49">
        <v>16.899999999999999</v>
      </c>
      <c r="C49" s="75">
        <f t="shared" si="0"/>
        <v>2.3076923076923079</v>
      </c>
      <c r="D49" s="40"/>
      <c r="E49" s="40"/>
      <c r="F49" s="40">
        <f t="shared" si="1"/>
        <v>57.213017751479292</v>
      </c>
      <c r="G49" s="40">
        <f t="shared" si="2"/>
        <v>26.089349112426035</v>
      </c>
      <c r="H49" s="40">
        <f t="shared" si="1"/>
        <v>57.213017751479292</v>
      </c>
      <c r="I49" s="40">
        <f t="shared" si="2"/>
        <v>26.089349112426035</v>
      </c>
      <c r="J49" s="40">
        <f>50.8/Fanin_Table[[#This Row],[FaninResistor]]</f>
        <v>3.0059171597633139</v>
      </c>
      <c r="K49" s="40">
        <f>-1.2 + 273/Fanin_Table[[#This Row],[FaninResistor]]</f>
        <v>14.953846153846158</v>
      </c>
      <c r="L49" s="40">
        <f>19.5/(Fanin_Table[[#This Row],[FaninResistor]]*1)</f>
        <v>1.153846153846154</v>
      </c>
    </row>
    <row r="50" spans="2:12" x14ac:dyDescent="0.25">
      <c r="B50">
        <v>17.2</v>
      </c>
      <c r="C50" s="75">
        <f t="shared" si="0"/>
        <v>2.2674418604651163</v>
      </c>
      <c r="D50" s="40"/>
      <c r="E50" s="40"/>
      <c r="F50" s="40">
        <f t="shared" si="1"/>
        <v>56.232558139534888</v>
      </c>
      <c r="G50" s="40">
        <f t="shared" si="2"/>
        <v>25.641279069767439</v>
      </c>
      <c r="H50" s="40">
        <f t="shared" si="1"/>
        <v>56.232558139534888</v>
      </c>
      <c r="I50" s="40">
        <f t="shared" si="2"/>
        <v>25.641279069767439</v>
      </c>
      <c r="J50" s="40">
        <f>50.8/Fanin_Table[[#This Row],[FaninResistor]]</f>
        <v>2.9534883720930232</v>
      </c>
      <c r="K50" s="40">
        <f>-1.2 + 273/Fanin_Table[[#This Row],[FaninResistor]]</f>
        <v>14.672093023255815</v>
      </c>
      <c r="L50" s="40">
        <f>19.5/(Fanin_Table[[#This Row],[FaninResistor]]*1)</f>
        <v>1.1337209302325582</v>
      </c>
    </row>
    <row r="51" spans="2:12" x14ac:dyDescent="0.25">
      <c r="B51">
        <v>17.399999999999999</v>
      </c>
      <c r="C51" s="75">
        <f t="shared" si="0"/>
        <v>2.2413793103448278</v>
      </c>
      <c r="D51" s="40"/>
      <c r="E51" s="40"/>
      <c r="F51" s="40">
        <f t="shared" si="1"/>
        <v>55.597701149425291</v>
      </c>
      <c r="G51" s="40">
        <f t="shared" si="2"/>
        <v>25.351149425287357</v>
      </c>
      <c r="H51" s="40">
        <f t="shared" si="1"/>
        <v>55.597701149425291</v>
      </c>
      <c r="I51" s="40">
        <f t="shared" si="2"/>
        <v>25.351149425287357</v>
      </c>
      <c r="J51" s="40">
        <f>50.8/Fanin_Table[[#This Row],[FaninResistor]]</f>
        <v>2.9195402298850577</v>
      </c>
      <c r="K51" s="40">
        <f>-1.2 + 273/Fanin_Table[[#This Row],[FaninResistor]]</f>
        <v>14.489655172413794</v>
      </c>
      <c r="L51" s="40">
        <f>19.5/(Fanin_Table[[#This Row],[FaninResistor]]*1)</f>
        <v>1.1206896551724139</v>
      </c>
    </row>
    <row r="52" spans="2:12" x14ac:dyDescent="0.25">
      <c r="B52">
        <v>17.600000000000001</v>
      </c>
      <c r="C52" s="75">
        <f t="shared" si="0"/>
        <v>2.2159090909090908</v>
      </c>
      <c r="D52" s="40"/>
      <c r="E52" s="40"/>
      <c r="F52" s="40">
        <f t="shared" si="1"/>
        <v>54.977272727272727</v>
      </c>
      <c r="G52" s="40">
        <f t="shared" si="2"/>
        <v>25.067613636363632</v>
      </c>
      <c r="H52" s="40">
        <f t="shared" si="1"/>
        <v>54.977272727272727</v>
      </c>
      <c r="I52" s="40">
        <f t="shared" si="2"/>
        <v>25.067613636363632</v>
      </c>
      <c r="J52" s="40">
        <f>50.8/Fanin_Table[[#This Row],[FaninResistor]]</f>
        <v>2.8863636363636358</v>
      </c>
      <c r="K52" s="40">
        <f>-1.2 + 273/Fanin_Table[[#This Row],[FaninResistor]]</f>
        <v>14.311363636363636</v>
      </c>
      <c r="L52" s="40">
        <f>19.5/(Fanin_Table[[#This Row],[FaninResistor]]*1)</f>
        <v>1.1079545454545454</v>
      </c>
    </row>
    <row r="53" spans="2:12" x14ac:dyDescent="0.25">
      <c r="B53">
        <v>17.8</v>
      </c>
      <c r="C53" s="75">
        <f t="shared" si="0"/>
        <v>2.191011235955056</v>
      </c>
      <c r="D53" s="40"/>
      <c r="E53" s="40"/>
      <c r="F53" s="40">
        <f t="shared" si="1"/>
        <v>54.370786516853933</v>
      </c>
      <c r="G53" s="40">
        <f t="shared" si="2"/>
        <v>24.790449438202245</v>
      </c>
      <c r="H53" s="40">
        <f t="shared" si="1"/>
        <v>54.370786516853933</v>
      </c>
      <c r="I53" s="40">
        <f t="shared" si="2"/>
        <v>24.790449438202245</v>
      </c>
      <c r="J53" s="40">
        <f>50.8/Fanin_Table[[#This Row],[FaninResistor]]</f>
        <v>2.8539325842696628</v>
      </c>
      <c r="K53" s="40">
        <f>-1.2 + 273/Fanin_Table[[#This Row],[FaninResistor]]</f>
        <v>14.137078651685393</v>
      </c>
      <c r="L53" s="40">
        <f>19.5/(Fanin_Table[[#This Row],[FaninResistor]]*1)</f>
        <v>1.095505617977528</v>
      </c>
    </row>
    <row r="54" spans="2:12" x14ac:dyDescent="0.25">
      <c r="B54">
        <v>18</v>
      </c>
      <c r="C54" s="75">
        <f t="shared" si="0"/>
        <v>2.1666666666666665</v>
      </c>
      <c r="D54" s="40"/>
      <c r="E54" s="40"/>
      <c r="F54" s="40">
        <f t="shared" si="1"/>
        <v>53.777777777777779</v>
      </c>
      <c r="G54" s="40">
        <f t="shared" si="2"/>
        <v>24.519444444444442</v>
      </c>
      <c r="H54" s="40">
        <f t="shared" si="1"/>
        <v>53.777777777777779</v>
      </c>
      <c r="I54" s="40">
        <f t="shared" si="2"/>
        <v>24.519444444444442</v>
      </c>
      <c r="J54" s="40">
        <f>50.8/Fanin_Table[[#This Row],[FaninResistor]]</f>
        <v>2.822222222222222</v>
      </c>
      <c r="K54" s="40">
        <f>-1.2 + 273/Fanin_Table[[#This Row],[FaninResistor]]</f>
        <v>13.966666666666667</v>
      </c>
      <c r="L54" s="40">
        <f>19.5/(Fanin_Table[[#This Row],[FaninResistor]]*1)</f>
        <v>1.0833333333333333</v>
      </c>
    </row>
    <row r="55" spans="2:12" x14ac:dyDescent="0.25">
      <c r="B55">
        <v>18.2</v>
      </c>
      <c r="C55" s="75">
        <f t="shared" si="0"/>
        <v>2.1428571428571428</v>
      </c>
      <c r="D55" s="40"/>
      <c r="E55" s="40"/>
      <c r="F55" s="40">
        <f t="shared" si="1"/>
        <v>53.197802197802197</v>
      </c>
      <c r="G55" s="40">
        <f t="shared" si="2"/>
        <v>24.254395604395604</v>
      </c>
      <c r="H55" s="40">
        <f t="shared" si="1"/>
        <v>53.197802197802197</v>
      </c>
      <c r="I55" s="40">
        <f t="shared" si="2"/>
        <v>24.254395604395604</v>
      </c>
      <c r="J55" s="40">
        <f>50.8/Fanin_Table[[#This Row],[FaninResistor]]</f>
        <v>2.7912087912087911</v>
      </c>
      <c r="K55" s="40">
        <f>-1.2 + 273/Fanin_Table[[#This Row],[FaninResistor]]</f>
        <v>13.8</v>
      </c>
      <c r="L55" s="40">
        <f>19.5/(Fanin_Table[[#This Row],[FaninResistor]]*1)</f>
        <v>1.0714285714285714</v>
      </c>
    </row>
    <row r="56" spans="2:12" x14ac:dyDescent="0.25">
      <c r="B56">
        <v>18.399999999999999</v>
      </c>
      <c r="C56" s="75">
        <f t="shared" si="0"/>
        <v>2.1195652173913047</v>
      </c>
      <c r="D56" s="40"/>
      <c r="E56" s="40"/>
      <c r="F56" s="40">
        <f t="shared" si="1"/>
        <v>52.630434782608695</v>
      </c>
      <c r="G56" s="40">
        <f t="shared" si="2"/>
        <v>23.995108695652174</v>
      </c>
      <c r="H56" s="40">
        <f t="shared" si="1"/>
        <v>52.630434782608695</v>
      </c>
      <c r="I56" s="40">
        <f t="shared" si="2"/>
        <v>23.995108695652174</v>
      </c>
      <c r="J56" s="40">
        <f>50.8/Fanin_Table[[#This Row],[FaninResistor]]</f>
        <v>2.7608695652173916</v>
      </c>
      <c r="K56" s="40">
        <f>-1.2 + 273/Fanin_Table[[#This Row],[FaninResistor]]</f>
        <v>13.636956521739132</v>
      </c>
      <c r="L56" s="40">
        <f>19.5/(Fanin_Table[[#This Row],[FaninResistor]]*1)</f>
        <v>1.0597826086956523</v>
      </c>
    </row>
    <row r="57" spans="2:12" x14ac:dyDescent="0.25">
      <c r="B57">
        <v>18.7</v>
      </c>
      <c r="C57" s="75">
        <f t="shared" si="0"/>
        <v>2.0855614973262031</v>
      </c>
      <c r="D57" s="40"/>
      <c r="E57" s="40"/>
      <c r="F57" s="40">
        <f t="shared" si="1"/>
        <v>51.802139037433157</v>
      </c>
      <c r="G57" s="40">
        <f t="shared" si="2"/>
        <v>23.616577540106949</v>
      </c>
      <c r="H57" s="40">
        <f t="shared" si="1"/>
        <v>51.802139037433157</v>
      </c>
      <c r="I57" s="40">
        <f t="shared" si="2"/>
        <v>23.616577540106949</v>
      </c>
      <c r="J57" s="40">
        <f>50.8/Fanin_Table[[#This Row],[FaninResistor]]</f>
        <v>2.7165775401069516</v>
      </c>
      <c r="K57" s="40">
        <f>-1.2 + 273/Fanin_Table[[#This Row],[FaninResistor]]</f>
        <v>13.398930481283424</v>
      </c>
      <c r="L57" s="40">
        <f>19.5/(Fanin_Table[[#This Row],[FaninResistor]]*1)</f>
        <v>1.0427807486631016</v>
      </c>
    </row>
    <row r="58" spans="2:12" x14ac:dyDescent="0.25">
      <c r="B58">
        <v>18.899999999999999</v>
      </c>
      <c r="C58" s="75">
        <f t="shared" si="0"/>
        <v>2.0634920634920637</v>
      </c>
      <c r="D58" s="40"/>
      <c r="E58" s="40"/>
      <c r="F58" s="40">
        <f t="shared" si="1"/>
        <v>51.264550264550266</v>
      </c>
      <c r="G58" s="40">
        <f t="shared" si="2"/>
        <v>23.37089947089947</v>
      </c>
      <c r="H58" s="40">
        <f t="shared" si="1"/>
        <v>51.264550264550266</v>
      </c>
      <c r="I58" s="40">
        <f t="shared" si="2"/>
        <v>23.37089947089947</v>
      </c>
      <c r="J58" s="40">
        <f>50.8/Fanin_Table[[#This Row],[FaninResistor]]</f>
        <v>2.6878306878306879</v>
      </c>
      <c r="K58" s="40">
        <f>-1.2 + 273/Fanin_Table[[#This Row],[FaninResistor]]</f>
        <v>13.244444444444447</v>
      </c>
      <c r="L58" s="40">
        <f>19.5/(Fanin_Table[[#This Row],[FaninResistor]]*1)</f>
        <v>1.0317460317460319</v>
      </c>
    </row>
    <row r="59" spans="2:12" x14ac:dyDescent="0.25">
      <c r="B59">
        <v>19.100000000000001</v>
      </c>
      <c r="C59" s="75">
        <f t="shared" si="0"/>
        <v>2.0418848167539267</v>
      </c>
      <c r="D59" s="40"/>
      <c r="E59" s="40"/>
      <c r="F59" s="40">
        <f t="shared" si="1"/>
        <v>50.738219895287955</v>
      </c>
      <c r="G59" s="40">
        <f t="shared" si="2"/>
        <v>23.130366492146592</v>
      </c>
      <c r="H59" s="40">
        <f t="shared" si="1"/>
        <v>50.738219895287955</v>
      </c>
      <c r="I59" s="40">
        <f t="shared" si="2"/>
        <v>23.130366492146592</v>
      </c>
      <c r="J59" s="40">
        <f>50.8/Fanin_Table[[#This Row],[FaninResistor]]</f>
        <v>2.659685863874345</v>
      </c>
      <c r="K59" s="40">
        <f>-1.2 + 273/Fanin_Table[[#This Row],[FaninResistor]]</f>
        <v>13.093193717277487</v>
      </c>
      <c r="L59" s="40">
        <f>19.5/(Fanin_Table[[#This Row],[FaninResistor]]*1)</f>
        <v>1.0209424083769634</v>
      </c>
    </row>
    <row r="60" spans="2:12" x14ac:dyDescent="0.25">
      <c r="B60">
        <v>19.3</v>
      </c>
      <c r="C60" s="75">
        <f t="shared" si="0"/>
        <v>2.0207253886010363</v>
      </c>
      <c r="D60" s="40"/>
      <c r="E60" s="40"/>
      <c r="F60" s="40">
        <f t="shared" si="1"/>
        <v>50.222797927461144</v>
      </c>
      <c r="G60" s="40">
        <f t="shared" si="2"/>
        <v>22.894818652849736</v>
      </c>
      <c r="H60" s="40">
        <f t="shared" si="1"/>
        <v>50.222797927461144</v>
      </c>
      <c r="I60" s="40">
        <f t="shared" si="2"/>
        <v>22.894818652849736</v>
      </c>
      <c r="J60" s="40">
        <f>50.8/Fanin_Table[[#This Row],[FaninResistor]]</f>
        <v>2.6321243523316058</v>
      </c>
      <c r="K60" s="40">
        <f>-1.2 + 273/Fanin_Table[[#This Row],[FaninResistor]]</f>
        <v>12.945077720207253</v>
      </c>
      <c r="L60" s="40">
        <f>19.5/(Fanin_Table[[#This Row],[FaninResistor]]*1)</f>
        <v>1.0103626943005182</v>
      </c>
    </row>
    <row r="61" spans="2:12" x14ac:dyDescent="0.25">
      <c r="B61">
        <v>19.600000000000001</v>
      </c>
      <c r="C61" s="75">
        <f t="shared" si="0"/>
        <v>1.9897959183673468</v>
      </c>
      <c r="D61" s="40"/>
      <c r="E61" s="40"/>
      <c r="F61" s="40">
        <f t="shared" si="1"/>
        <v>49.469387755102041</v>
      </c>
      <c r="G61" s="40">
        <f t="shared" si="2"/>
        <v>22.550510204081629</v>
      </c>
      <c r="H61" s="40">
        <f t="shared" si="1"/>
        <v>49.469387755102041</v>
      </c>
      <c r="I61" s="40">
        <f t="shared" si="2"/>
        <v>22.550510204081629</v>
      </c>
      <c r="J61" s="40">
        <f>50.8/Fanin_Table[[#This Row],[FaninResistor]]</f>
        <v>2.5918367346938771</v>
      </c>
      <c r="K61" s="40">
        <f>-1.2 + 273/Fanin_Table[[#This Row],[FaninResistor]]</f>
        <v>12.728571428571428</v>
      </c>
      <c r="L61" s="40">
        <f>19.5/(Fanin_Table[[#This Row],[FaninResistor]]*1)</f>
        <v>0.99489795918367341</v>
      </c>
    </row>
    <row r="62" spans="2:12" x14ac:dyDescent="0.25">
      <c r="B62">
        <v>19.8</v>
      </c>
      <c r="C62" s="75">
        <f t="shared" si="0"/>
        <v>1.9696969696969697</v>
      </c>
      <c r="D62" s="40"/>
      <c r="E62" s="40"/>
      <c r="F62" s="40">
        <f t="shared" si="1"/>
        <v>48.979797979797979</v>
      </c>
      <c r="G62" s="40">
        <f t="shared" si="2"/>
        <v>22.326767676767673</v>
      </c>
      <c r="H62" s="40">
        <f t="shared" si="1"/>
        <v>48.979797979797979</v>
      </c>
      <c r="I62" s="40">
        <f t="shared" si="2"/>
        <v>22.326767676767673</v>
      </c>
      <c r="J62" s="40">
        <f>50.8/Fanin_Table[[#This Row],[FaninResistor]]</f>
        <v>2.5656565656565653</v>
      </c>
      <c r="K62" s="40">
        <f>-1.2 + 273/Fanin_Table[[#This Row],[FaninResistor]]</f>
        <v>12.587878787878788</v>
      </c>
      <c r="L62" s="40">
        <f>19.5/(Fanin_Table[[#This Row],[FaninResistor]]*1)</f>
        <v>0.98484848484848486</v>
      </c>
    </row>
    <row r="63" spans="2:12" x14ac:dyDescent="0.25">
      <c r="B63">
        <v>20</v>
      </c>
      <c r="C63" s="75">
        <f t="shared" si="0"/>
        <v>1.95</v>
      </c>
      <c r="D63" s="40"/>
      <c r="E63" s="40"/>
      <c r="F63" s="40">
        <f t="shared" si="1"/>
        <v>48.5</v>
      </c>
      <c r="G63" s="40">
        <f t="shared" si="2"/>
        <v>22.107499999999998</v>
      </c>
      <c r="H63" s="40">
        <f t="shared" si="1"/>
        <v>48.5</v>
      </c>
      <c r="I63" s="40">
        <f t="shared" si="2"/>
        <v>22.107499999999998</v>
      </c>
      <c r="J63" s="40">
        <f>50.8/Fanin_Table[[#This Row],[FaninResistor]]</f>
        <v>2.54</v>
      </c>
      <c r="K63" s="40">
        <f>-1.2 + 273/Fanin_Table[[#This Row],[FaninResistor]]</f>
        <v>12.450000000000001</v>
      </c>
      <c r="L63" s="40">
        <f>19.5/(Fanin_Table[[#This Row],[FaninResistor]]*1)</f>
        <v>0.97499999999999998</v>
      </c>
    </row>
    <row r="64" spans="2:12" x14ac:dyDescent="0.25">
      <c r="B64">
        <v>20.3</v>
      </c>
      <c r="C64" s="75">
        <f t="shared" si="0"/>
        <v>1.9211822660098521</v>
      </c>
      <c r="D64" s="40"/>
      <c r="E64" s="40"/>
      <c r="F64" s="40">
        <f t="shared" si="1"/>
        <v>47.798029556650249</v>
      </c>
      <c r="G64" s="40">
        <f t="shared" si="2"/>
        <v>21.786699507389159</v>
      </c>
      <c r="H64" s="40">
        <f t="shared" si="1"/>
        <v>47.798029556650249</v>
      </c>
      <c r="I64" s="40">
        <f t="shared" si="2"/>
        <v>21.786699507389159</v>
      </c>
      <c r="J64" s="40">
        <f>50.8/Fanin_Table[[#This Row],[FaninResistor]]</f>
        <v>2.5024630541871917</v>
      </c>
      <c r="K64" s="40">
        <f>-1.2 + 273/Fanin_Table[[#This Row],[FaninResistor]]</f>
        <v>12.248275862068965</v>
      </c>
      <c r="L64" s="40">
        <f>19.5/(Fanin_Table[[#This Row],[FaninResistor]]*1)</f>
        <v>0.96059113300492605</v>
      </c>
    </row>
    <row r="65" spans="2:12" x14ac:dyDescent="0.25">
      <c r="B65">
        <v>20.5</v>
      </c>
      <c r="C65" s="75">
        <f t="shared" si="0"/>
        <v>1.9024390243902438</v>
      </c>
      <c r="D65" s="40"/>
      <c r="E65" s="40"/>
      <c r="F65" s="40">
        <f t="shared" si="1"/>
        <v>47.341463414634148</v>
      </c>
      <c r="G65" s="40">
        <f t="shared" si="2"/>
        <v>21.578048780487801</v>
      </c>
      <c r="H65" s="40">
        <f t="shared" si="1"/>
        <v>47.341463414634148</v>
      </c>
      <c r="I65" s="40">
        <f t="shared" si="2"/>
        <v>21.578048780487801</v>
      </c>
      <c r="J65" s="40">
        <f>50.8/Fanin_Table[[#This Row],[FaninResistor]]</f>
        <v>2.4780487804878049</v>
      </c>
      <c r="K65" s="40">
        <f>-1.2 + 273/Fanin_Table[[#This Row],[FaninResistor]]</f>
        <v>12.117073170731707</v>
      </c>
      <c r="L65" s="40">
        <f>19.5/(Fanin_Table[[#This Row],[FaninResistor]]*1)</f>
        <v>0.95121951219512191</v>
      </c>
    </row>
    <row r="66" spans="2:12" x14ac:dyDescent="0.25">
      <c r="B66">
        <v>20.8</v>
      </c>
      <c r="C66" s="75">
        <f t="shared" si="0"/>
        <v>1.875</v>
      </c>
      <c r="D66" s="40"/>
      <c r="E66" s="40"/>
      <c r="F66" s="40">
        <f t="shared" si="1"/>
        <v>46.67307692307692</v>
      </c>
      <c r="G66" s="40">
        <f t="shared" si="2"/>
        <v>21.272596153846152</v>
      </c>
      <c r="H66" s="40">
        <f t="shared" si="1"/>
        <v>46.67307692307692</v>
      </c>
      <c r="I66" s="40">
        <f t="shared" si="2"/>
        <v>21.272596153846152</v>
      </c>
      <c r="J66" s="40">
        <f>50.8/Fanin_Table[[#This Row],[FaninResistor]]</f>
        <v>2.4423076923076921</v>
      </c>
      <c r="K66" s="40">
        <f>-1.2 + 273/Fanin_Table[[#This Row],[FaninResistor]]</f>
        <v>11.925000000000001</v>
      </c>
      <c r="L66" s="40">
        <f>19.5/(Fanin_Table[[#This Row],[FaninResistor]]*1)</f>
        <v>0.9375</v>
      </c>
    </row>
    <row r="67" spans="2:12" x14ac:dyDescent="0.25">
      <c r="B67">
        <v>21</v>
      </c>
      <c r="C67" s="75">
        <f t="shared" si="0"/>
        <v>1.8571428571428572</v>
      </c>
      <c r="D67" s="40"/>
      <c r="E67" s="40"/>
      <c r="F67" s="40">
        <f t="shared" si="1"/>
        <v>46.238095238095241</v>
      </c>
      <c r="G67" s="40">
        <f t="shared" si="2"/>
        <v>21.073809523809523</v>
      </c>
      <c r="H67" s="40">
        <f t="shared" si="1"/>
        <v>46.238095238095241</v>
      </c>
      <c r="I67" s="40">
        <f t="shared" si="2"/>
        <v>21.073809523809523</v>
      </c>
      <c r="J67" s="40">
        <f>50.8/Fanin_Table[[#This Row],[FaninResistor]]</f>
        <v>2.4190476190476189</v>
      </c>
      <c r="K67" s="40">
        <f>-1.2 + 273/Fanin_Table[[#This Row],[FaninResistor]]</f>
        <v>11.8</v>
      </c>
      <c r="L67" s="40">
        <f>19.5/(Fanin_Table[[#This Row],[FaninResistor]]*1)</f>
        <v>0.9285714285714286</v>
      </c>
    </row>
    <row r="68" spans="2:12" x14ac:dyDescent="0.25">
      <c r="B68">
        <v>21.3</v>
      </c>
      <c r="C68" s="75">
        <f t="shared" si="0"/>
        <v>1.8309859154929577</v>
      </c>
      <c r="D68" s="40"/>
      <c r="E68" s="40"/>
      <c r="F68" s="40">
        <f t="shared" si="1"/>
        <v>45.600938967136152</v>
      </c>
      <c r="G68" s="40">
        <f t="shared" si="2"/>
        <v>20.782629107981219</v>
      </c>
      <c r="H68" s="40">
        <f t="shared" si="1"/>
        <v>45.600938967136152</v>
      </c>
      <c r="I68" s="40">
        <f t="shared" si="2"/>
        <v>20.782629107981219</v>
      </c>
      <c r="J68" s="40">
        <f>50.8/Fanin_Table[[#This Row],[FaninResistor]]</f>
        <v>2.384976525821596</v>
      </c>
      <c r="K68" s="40">
        <f>-1.2 + 273/Fanin_Table[[#This Row],[FaninResistor]]</f>
        <v>11.616901408450705</v>
      </c>
      <c r="L68" s="40">
        <f>19.5/(Fanin_Table[[#This Row],[FaninResistor]]*1)</f>
        <v>0.91549295774647887</v>
      </c>
    </row>
    <row r="69" spans="2:12" x14ac:dyDescent="0.25">
      <c r="B69">
        <v>21.5</v>
      </c>
      <c r="C69" s="75">
        <f t="shared" ref="C69:C132" si="3">39/B69</f>
        <v>1.8139534883720929</v>
      </c>
      <c r="D69" s="40"/>
      <c r="E69" s="40"/>
      <c r="F69" s="40">
        <f t="shared" ref="F69:H132" si="4">MIN(0.0722,0.001+(950/($B69*1000)))*1000</f>
        <v>45.186046511627907</v>
      </c>
      <c r="G69" s="40">
        <f t="shared" si="2"/>
        <v>20.59302325581395</v>
      </c>
      <c r="H69" s="40">
        <f t="shared" si="4"/>
        <v>45.186046511627907</v>
      </c>
      <c r="I69" s="40">
        <f t="shared" si="2"/>
        <v>20.59302325581395</v>
      </c>
      <c r="J69" s="40">
        <f>50.8/Fanin_Table[[#This Row],[FaninResistor]]</f>
        <v>2.3627906976744186</v>
      </c>
      <c r="K69" s="40">
        <f>-1.2 + 273/Fanin_Table[[#This Row],[FaninResistor]]</f>
        <v>11.497674418604651</v>
      </c>
      <c r="L69" s="40">
        <f>19.5/(Fanin_Table[[#This Row],[FaninResistor]]*1)</f>
        <v>0.90697674418604646</v>
      </c>
    </row>
    <row r="70" spans="2:12" x14ac:dyDescent="0.25">
      <c r="B70">
        <v>21.8</v>
      </c>
      <c r="C70" s="75">
        <f t="shared" si="3"/>
        <v>1.7889908256880733</v>
      </c>
      <c r="D70" s="40"/>
      <c r="E70" s="40"/>
      <c r="F70" s="40">
        <f t="shared" si="4"/>
        <v>44.577981651376149</v>
      </c>
      <c r="G70" s="40">
        <f t="shared" ref="G70:I133" si="5">0.4+(434.15/$B70)</f>
        <v>20.315137614678896</v>
      </c>
      <c r="H70" s="40">
        <f t="shared" si="4"/>
        <v>44.577981651376149</v>
      </c>
      <c r="I70" s="40">
        <f t="shared" si="5"/>
        <v>20.315137614678896</v>
      </c>
      <c r="J70" s="40">
        <f>50.8/Fanin_Table[[#This Row],[FaninResistor]]</f>
        <v>2.330275229357798</v>
      </c>
      <c r="K70" s="40">
        <f>-1.2 + 273/Fanin_Table[[#This Row],[FaninResistor]]</f>
        <v>11.322935779816515</v>
      </c>
      <c r="L70" s="40">
        <f>19.5/(Fanin_Table[[#This Row],[FaninResistor]]*1)</f>
        <v>0.89449541284403666</v>
      </c>
    </row>
    <row r="71" spans="2:12" x14ac:dyDescent="0.25">
      <c r="B71">
        <v>22.1</v>
      </c>
      <c r="C71" s="75">
        <f t="shared" si="3"/>
        <v>1.7647058823529411</v>
      </c>
      <c r="D71" s="40"/>
      <c r="E71" s="40"/>
      <c r="F71" s="40">
        <f t="shared" si="4"/>
        <v>43.986425339366519</v>
      </c>
      <c r="G71" s="40">
        <f t="shared" si="5"/>
        <v>20.044796380090492</v>
      </c>
      <c r="H71" s="40">
        <f t="shared" si="4"/>
        <v>43.986425339366519</v>
      </c>
      <c r="I71" s="40">
        <f t="shared" si="5"/>
        <v>20.044796380090492</v>
      </c>
      <c r="J71" s="40">
        <f>50.8/Fanin_Table[[#This Row],[FaninResistor]]</f>
        <v>2.2986425339366514</v>
      </c>
      <c r="K71" s="40">
        <f>-1.2 + 273/Fanin_Table[[#This Row],[FaninResistor]]</f>
        <v>11.152941176470588</v>
      </c>
      <c r="L71" s="40">
        <f>19.5/(Fanin_Table[[#This Row],[FaninResistor]]*1)</f>
        <v>0.88235294117647056</v>
      </c>
    </row>
    <row r="72" spans="2:12" x14ac:dyDescent="0.25">
      <c r="B72">
        <v>22.3</v>
      </c>
      <c r="C72" s="75">
        <f t="shared" si="3"/>
        <v>1.7488789237668161</v>
      </c>
      <c r="D72" s="40"/>
      <c r="E72" s="40"/>
      <c r="F72" s="40">
        <f t="shared" si="4"/>
        <v>43.600896860986545</v>
      </c>
      <c r="G72" s="40">
        <f t="shared" si="5"/>
        <v>19.868609865470848</v>
      </c>
      <c r="H72" s="40">
        <f t="shared" si="4"/>
        <v>43.600896860986545</v>
      </c>
      <c r="I72" s="40">
        <f t="shared" si="5"/>
        <v>19.868609865470848</v>
      </c>
      <c r="J72" s="40">
        <f>50.8/Fanin_Table[[#This Row],[FaninResistor]]</f>
        <v>2.2780269058295963</v>
      </c>
      <c r="K72" s="40">
        <f>-1.2 + 273/Fanin_Table[[#This Row],[FaninResistor]]</f>
        <v>11.042152466367714</v>
      </c>
      <c r="L72" s="40">
        <f>19.5/(Fanin_Table[[#This Row],[FaninResistor]]*1)</f>
        <v>0.87443946188340804</v>
      </c>
    </row>
    <row r="73" spans="2:12" x14ac:dyDescent="0.25">
      <c r="B73">
        <v>22.6</v>
      </c>
      <c r="C73" s="75">
        <f t="shared" si="3"/>
        <v>1.7256637168141591</v>
      </c>
      <c r="D73" s="40"/>
      <c r="E73" s="40"/>
      <c r="F73" s="40">
        <f t="shared" si="4"/>
        <v>43.035398230088497</v>
      </c>
      <c r="G73" s="40">
        <f t="shared" si="5"/>
        <v>19.610176991150439</v>
      </c>
      <c r="H73" s="40">
        <f t="shared" si="4"/>
        <v>43.035398230088497</v>
      </c>
      <c r="I73" s="40">
        <f t="shared" si="5"/>
        <v>19.610176991150439</v>
      </c>
      <c r="J73" s="40">
        <f>50.8/Fanin_Table[[#This Row],[FaninResistor]]</f>
        <v>2.247787610619469</v>
      </c>
      <c r="K73" s="40">
        <f>-1.2 + 273/Fanin_Table[[#This Row],[FaninResistor]]</f>
        <v>10.879646017699114</v>
      </c>
      <c r="L73" s="40">
        <f>19.5/(Fanin_Table[[#This Row],[FaninResistor]]*1)</f>
        <v>0.86283185840707954</v>
      </c>
    </row>
    <row r="74" spans="2:12" x14ac:dyDescent="0.25">
      <c r="B74">
        <v>22.9</v>
      </c>
      <c r="C74" s="75">
        <f t="shared" si="3"/>
        <v>1.7030567685589522</v>
      </c>
      <c r="D74" s="40"/>
      <c r="E74" s="40"/>
      <c r="F74" s="40">
        <f t="shared" si="4"/>
        <v>42.484716157205241</v>
      </c>
      <c r="G74" s="40">
        <f t="shared" si="5"/>
        <v>19.358515283842795</v>
      </c>
      <c r="H74" s="40">
        <f t="shared" si="4"/>
        <v>42.484716157205241</v>
      </c>
      <c r="I74" s="40">
        <f t="shared" si="5"/>
        <v>19.358515283842795</v>
      </c>
      <c r="J74" s="40">
        <f>50.8/Fanin_Table[[#This Row],[FaninResistor]]</f>
        <v>2.2183406113537116</v>
      </c>
      <c r="K74" s="40">
        <f>-1.2 + 273/Fanin_Table[[#This Row],[FaninResistor]]</f>
        <v>10.721397379912665</v>
      </c>
      <c r="L74" s="40">
        <f>19.5/(Fanin_Table[[#This Row],[FaninResistor]]*1)</f>
        <v>0.85152838427947608</v>
      </c>
    </row>
    <row r="75" spans="2:12" x14ac:dyDescent="0.25">
      <c r="B75">
        <v>23.2</v>
      </c>
      <c r="C75" s="75">
        <f t="shared" si="3"/>
        <v>1.6810344827586208</v>
      </c>
      <c r="D75" s="40"/>
      <c r="E75" s="40"/>
      <c r="F75" s="40">
        <f t="shared" si="4"/>
        <v>41.948275862068968</v>
      </c>
      <c r="G75" s="40">
        <f t="shared" si="5"/>
        <v>19.113362068965515</v>
      </c>
      <c r="H75" s="40">
        <f t="shared" si="4"/>
        <v>41.948275862068968</v>
      </c>
      <c r="I75" s="40">
        <f t="shared" si="5"/>
        <v>19.113362068965515</v>
      </c>
      <c r="J75" s="40">
        <f>50.8/Fanin_Table[[#This Row],[FaninResistor]]</f>
        <v>2.1896551724137931</v>
      </c>
      <c r="K75" s="40">
        <f>-1.2 + 273/Fanin_Table[[#This Row],[FaninResistor]]</f>
        <v>10.567241379310346</v>
      </c>
      <c r="L75" s="40">
        <f>19.5/(Fanin_Table[[#This Row],[FaninResistor]]*1)</f>
        <v>0.84051724137931039</v>
      </c>
    </row>
    <row r="76" spans="2:12" x14ac:dyDescent="0.25">
      <c r="B76">
        <v>23.4</v>
      </c>
      <c r="C76" s="75">
        <f t="shared" si="3"/>
        <v>1.6666666666666667</v>
      </c>
      <c r="D76" s="40"/>
      <c r="E76" s="40"/>
      <c r="F76" s="40">
        <f t="shared" si="4"/>
        <v>41.598290598290603</v>
      </c>
      <c r="G76" s="40">
        <f t="shared" si="5"/>
        <v>18.953418803418803</v>
      </c>
      <c r="H76" s="40">
        <f t="shared" si="4"/>
        <v>41.598290598290603</v>
      </c>
      <c r="I76" s="40">
        <f t="shared" si="5"/>
        <v>18.953418803418803</v>
      </c>
      <c r="J76" s="40">
        <f>50.8/Fanin_Table[[#This Row],[FaninResistor]]</f>
        <v>2.1709401709401708</v>
      </c>
      <c r="K76" s="40">
        <f>-1.2 + 273/Fanin_Table[[#This Row],[FaninResistor]]</f>
        <v>10.466666666666669</v>
      </c>
      <c r="L76" s="40">
        <f>19.5/(Fanin_Table[[#This Row],[FaninResistor]]*1)</f>
        <v>0.83333333333333337</v>
      </c>
    </row>
    <row r="77" spans="2:12" x14ac:dyDescent="0.25">
      <c r="B77">
        <v>23.7</v>
      </c>
      <c r="C77" s="75">
        <f t="shared" si="3"/>
        <v>1.6455696202531647</v>
      </c>
      <c r="D77" s="40"/>
      <c r="E77" s="40"/>
      <c r="F77" s="40">
        <f t="shared" si="4"/>
        <v>41.084388185654014</v>
      </c>
      <c r="G77" s="40">
        <f t="shared" si="5"/>
        <v>18.718565400843879</v>
      </c>
      <c r="H77" s="40">
        <f t="shared" si="4"/>
        <v>41.084388185654014</v>
      </c>
      <c r="I77" s="40">
        <f t="shared" si="5"/>
        <v>18.718565400843879</v>
      </c>
      <c r="J77" s="40">
        <f>50.8/Fanin_Table[[#This Row],[FaninResistor]]</f>
        <v>2.1434599156118144</v>
      </c>
      <c r="K77" s="40">
        <f>-1.2 + 273/Fanin_Table[[#This Row],[FaninResistor]]</f>
        <v>10.318987341772154</v>
      </c>
      <c r="L77" s="40">
        <f>19.5/(Fanin_Table[[#This Row],[FaninResistor]]*1)</f>
        <v>0.82278481012658233</v>
      </c>
    </row>
    <row r="78" spans="2:12" x14ac:dyDescent="0.25">
      <c r="B78">
        <v>24</v>
      </c>
      <c r="C78" s="75">
        <f t="shared" si="3"/>
        <v>1.625</v>
      </c>
      <c r="D78" s="40"/>
      <c r="E78" s="40"/>
      <c r="F78" s="40">
        <f t="shared" si="4"/>
        <v>40.583333333333336</v>
      </c>
      <c r="G78" s="40">
        <f t="shared" si="5"/>
        <v>18.489583333333332</v>
      </c>
      <c r="H78" s="40">
        <f t="shared" si="4"/>
        <v>40.583333333333336</v>
      </c>
      <c r="I78" s="40">
        <f t="shared" si="5"/>
        <v>18.489583333333332</v>
      </c>
      <c r="J78" s="40">
        <f>50.8/Fanin_Table[[#This Row],[FaninResistor]]</f>
        <v>2.1166666666666667</v>
      </c>
      <c r="K78" s="40">
        <f>-1.2 + 273/Fanin_Table[[#This Row],[FaninResistor]]</f>
        <v>10.175000000000001</v>
      </c>
      <c r="L78" s="40">
        <f>19.5/(Fanin_Table[[#This Row],[FaninResistor]]*1)</f>
        <v>0.8125</v>
      </c>
    </row>
    <row r="79" spans="2:12" x14ac:dyDescent="0.25">
      <c r="B79">
        <v>24.3</v>
      </c>
      <c r="C79" s="75">
        <f t="shared" si="3"/>
        <v>1.6049382716049383</v>
      </c>
      <c r="D79" s="40"/>
      <c r="E79" s="40"/>
      <c r="F79" s="40">
        <f t="shared" si="4"/>
        <v>40.094650205761319</v>
      </c>
      <c r="G79" s="40">
        <f t="shared" si="5"/>
        <v>18.266255144032918</v>
      </c>
      <c r="H79" s="40">
        <f t="shared" si="4"/>
        <v>40.094650205761319</v>
      </c>
      <c r="I79" s="40">
        <f t="shared" si="5"/>
        <v>18.266255144032918</v>
      </c>
      <c r="J79" s="40">
        <f>50.8/Fanin_Table[[#This Row],[FaninResistor]]</f>
        <v>2.0905349794238681</v>
      </c>
      <c r="K79" s="40">
        <f>-1.2 + 273/Fanin_Table[[#This Row],[FaninResistor]]</f>
        <v>10.034567901234569</v>
      </c>
      <c r="L79" s="40">
        <f>19.5/(Fanin_Table[[#This Row],[FaninResistor]]*1)</f>
        <v>0.80246913580246915</v>
      </c>
    </row>
    <row r="80" spans="2:12" x14ac:dyDescent="0.25">
      <c r="B80">
        <v>24.6</v>
      </c>
      <c r="C80" s="75">
        <f t="shared" si="3"/>
        <v>1.5853658536585364</v>
      </c>
      <c r="D80" s="40"/>
      <c r="E80" s="40"/>
      <c r="F80" s="40">
        <f t="shared" si="4"/>
        <v>39.617886178861788</v>
      </c>
      <c r="G80" s="40">
        <f t="shared" si="5"/>
        <v>18.048373983739832</v>
      </c>
      <c r="H80" s="40">
        <f t="shared" si="4"/>
        <v>39.617886178861788</v>
      </c>
      <c r="I80" s="40">
        <f t="shared" si="5"/>
        <v>18.048373983739832</v>
      </c>
      <c r="J80" s="40">
        <f>50.8/Fanin_Table[[#This Row],[FaninResistor]]</f>
        <v>2.065040650406504</v>
      </c>
      <c r="K80" s="40">
        <f>-1.2 + 273/Fanin_Table[[#This Row],[FaninResistor]]</f>
        <v>9.8975609756097569</v>
      </c>
      <c r="L80" s="40">
        <f>19.5/(Fanin_Table[[#This Row],[FaninResistor]]*1)</f>
        <v>0.79268292682926822</v>
      </c>
    </row>
    <row r="81" spans="2:12" x14ac:dyDescent="0.25">
      <c r="B81">
        <v>24.9</v>
      </c>
      <c r="C81" s="75">
        <f t="shared" si="3"/>
        <v>1.566265060240964</v>
      </c>
      <c r="D81" s="40"/>
      <c r="E81" s="40"/>
      <c r="F81" s="40">
        <f t="shared" si="4"/>
        <v>39.152610441767074</v>
      </c>
      <c r="G81" s="40">
        <f t="shared" si="5"/>
        <v>17.835742971887548</v>
      </c>
      <c r="H81" s="40">
        <f t="shared" si="4"/>
        <v>39.152610441767074</v>
      </c>
      <c r="I81" s="40">
        <f t="shared" si="5"/>
        <v>17.835742971887548</v>
      </c>
      <c r="J81" s="40">
        <f>50.8/Fanin_Table[[#This Row],[FaninResistor]]</f>
        <v>2.0401606425702812</v>
      </c>
      <c r="K81" s="40">
        <f>-1.2 + 273/Fanin_Table[[#This Row],[FaninResistor]]</f>
        <v>9.763855421686749</v>
      </c>
      <c r="L81" s="40">
        <f>19.5/(Fanin_Table[[#This Row],[FaninResistor]]*1)</f>
        <v>0.78313253012048201</v>
      </c>
    </row>
    <row r="82" spans="2:12" x14ac:dyDescent="0.25">
      <c r="B82">
        <v>25.2</v>
      </c>
      <c r="C82" s="75">
        <f t="shared" si="3"/>
        <v>1.5476190476190477</v>
      </c>
      <c r="D82" s="40"/>
      <c r="E82" s="40"/>
      <c r="F82" s="40">
        <f t="shared" si="4"/>
        <v>38.698412698412696</v>
      </c>
      <c r="G82" s="40">
        <f t="shared" si="5"/>
        <v>17.6281746031746</v>
      </c>
      <c r="H82" s="40">
        <f t="shared" si="4"/>
        <v>38.698412698412696</v>
      </c>
      <c r="I82" s="40">
        <f t="shared" si="5"/>
        <v>17.6281746031746</v>
      </c>
      <c r="J82" s="40">
        <f>50.8/Fanin_Table[[#This Row],[FaninResistor]]</f>
        <v>2.0158730158730158</v>
      </c>
      <c r="K82" s="40">
        <f>-1.2 + 273/Fanin_Table[[#This Row],[FaninResistor]]</f>
        <v>9.6333333333333346</v>
      </c>
      <c r="L82" s="40">
        <f>19.5/(Fanin_Table[[#This Row],[FaninResistor]]*1)</f>
        <v>0.77380952380952384</v>
      </c>
    </row>
    <row r="83" spans="2:12" x14ac:dyDescent="0.25">
      <c r="B83">
        <v>25.5</v>
      </c>
      <c r="C83" s="75">
        <f t="shared" si="3"/>
        <v>1.5294117647058822</v>
      </c>
      <c r="D83" s="40"/>
      <c r="E83" s="40"/>
      <c r="F83" s="40">
        <f t="shared" si="4"/>
        <v>38.254901960784316</v>
      </c>
      <c r="G83" s="40">
        <f t="shared" si="5"/>
        <v>17.425490196078428</v>
      </c>
      <c r="H83" s="40">
        <f t="shared" si="4"/>
        <v>38.254901960784316</v>
      </c>
      <c r="I83" s="40">
        <f t="shared" si="5"/>
        <v>17.425490196078428</v>
      </c>
      <c r="J83" s="40">
        <f>50.8/Fanin_Table[[#This Row],[FaninResistor]]</f>
        <v>1.9921568627450978</v>
      </c>
      <c r="K83" s="40">
        <f>-1.2 + 273/Fanin_Table[[#This Row],[FaninResistor]]</f>
        <v>9.5058823529411764</v>
      </c>
      <c r="L83" s="40">
        <f>19.5/(Fanin_Table[[#This Row],[FaninResistor]]*1)</f>
        <v>0.76470588235294112</v>
      </c>
    </row>
    <row r="84" spans="2:12" x14ac:dyDescent="0.25">
      <c r="B84">
        <v>25.8</v>
      </c>
      <c r="C84" s="75">
        <f t="shared" si="3"/>
        <v>1.5116279069767442</v>
      </c>
      <c r="D84" s="40"/>
      <c r="E84" s="40"/>
      <c r="F84" s="40">
        <f t="shared" si="4"/>
        <v>37.821705426356594</v>
      </c>
      <c r="G84" s="40">
        <f t="shared" si="5"/>
        <v>17.22751937984496</v>
      </c>
      <c r="H84" s="40">
        <f t="shared" si="4"/>
        <v>37.821705426356594</v>
      </c>
      <c r="I84" s="40">
        <f t="shared" si="5"/>
        <v>17.22751937984496</v>
      </c>
      <c r="J84" s="40">
        <f>50.8/Fanin_Table[[#This Row],[FaninResistor]]</f>
        <v>1.9689922480620154</v>
      </c>
      <c r="K84" s="40">
        <f>-1.2 + 273/Fanin_Table[[#This Row],[FaninResistor]]</f>
        <v>9.3813953488372093</v>
      </c>
      <c r="L84" s="40">
        <f>19.5/(Fanin_Table[[#This Row],[FaninResistor]]*1)</f>
        <v>0.7558139534883721</v>
      </c>
    </row>
    <row r="85" spans="2:12" x14ac:dyDescent="0.25">
      <c r="B85">
        <v>26.1</v>
      </c>
      <c r="C85" s="75">
        <f t="shared" si="3"/>
        <v>1.4942528735632183</v>
      </c>
      <c r="D85" s="40"/>
      <c r="E85" s="40"/>
      <c r="F85" s="40">
        <f t="shared" si="4"/>
        <v>37.398467432950191</v>
      </c>
      <c r="G85" s="40">
        <f t="shared" si="5"/>
        <v>17.034099616858235</v>
      </c>
      <c r="H85" s="40">
        <f t="shared" si="4"/>
        <v>37.398467432950191</v>
      </c>
      <c r="I85" s="40">
        <f t="shared" si="5"/>
        <v>17.034099616858235</v>
      </c>
      <c r="J85" s="40">
        <f>50.8/Fanin_Table[[#This Row],[FaninResistor]]</f>
        <v>1.9463601532567048</v>
      </c>
      <c r="K85" s="40">
        <f>-1.2 + 273/Fanin_Table[[#This Row],[FaninResistor]]</f>
        <v>9.259770114942528</v>
      </c>
      <c r="L85" s="40">
        <f>19.5/(Fanin_Table[[#This Row],[FaninResistor]]*1)</f>
        <v>0.74712643678160917</v>
      </c>
    </row>
    <row r="86" spans="2:12" x14ac:dyDescent="0.25">
      <c r="B86">
        <v>26.4</v>
      </c>
      <c r="C86" s="75">
        <f t="shared" si="3"/>
        <v>1.4772727272727273</v>
      </c>
      <c r="D86" s="40"/>
      <c r="E86" s="40"/>
      <c r="F86" s="40">
        <f t="shared" si="4"/>
        <v>36.984848484848492</v>
      </c>
      <c r="G86" s="40">
        <f t="shared" si="5"/>
        <v>16.845075757575756</v>
      </c>
      <c r="H86" s="40">
        <f t="shared" si="4"/>
        <v>36.984848484848492</v>
      </c>
      <c r="I86" s="40">
        <f t="shared" si="5"/>
        <v>16.845075757575756</v>
      </c>
      <c r="J86" s="40">
        <f>50.8/Fanin_Table[[#This Row],[FaninResistor]]</f>
        <v>1.9242424242424243</v>
      </c>
      <c r="K86" s="40">
        <f>-1.2 + 273/Fanin_Table[[#This Row],[FaninResistor]]</f>
        <v>9.1409090909090924</v>
      </c>
      <c r="L86" s="40">
        <f>19.5/(Fanin_Table[[#This Row],[FaninResistor]]*1)</f>
        <v>0.73863636363636365</v>
      </c>
    </row>
    <row r="87" spans="2:12" x14ac:dyDescent="0.25">
      <c r="B87">
        <v>26.7</v>
      </c>
      <c r="C87" s="75">
        <f t="shared" si="3"/>
        <v>1.4606741573033708</v>
      </c>
      <c r="D87" s="40"/>
      <c r="E87" s="40"/>
      <c r="F87" s="40">
        <f t="shared" si="4"/>
        <v>36.580524344569284</v>
      </c>
      <c r="G87" s="40">
        <f t="shared" si="5"/>
        <v>16.660299625468163</v>
      </c>
      <c r="H87" s="40">
        <f t="shared" si="4"/>
        <v>36.580524344569284</v>
      </c>
      <c r="I87" s="40">
        <f t="shared" si="5"/>
        <v>16.660299625468163</v>
      </c>
      <c r="J87" s="40">
        <f>50.8/Fanin_Table[[#This Row],[FaninResistor]]</f>
        <v>1.9026217228464419</v>
      </c>
      <c r="K87" s="40">
        <f>-1.2 + 273/Fanin_Table[[#This Row],[FaninResistor]]</f>
        <v>9.0247191011235959</v>
      </c>
      <c r="L87" s="40">
        <f>19.5/(Fanin_Table[[#This Row],[FaninResistor]]*1)</f>
        <v>0.7303370786516854</v>
      </c>
    </row>
    <row r="88" spans="2:12" x14ac:dyDescent="0.25">
      <c r="B88">
        <v>27.1</v>
      </c>
      <c r="C88" s="75">
        <f t="shared" si="3"/>
        <v>1.4391143911439113</v>
      </c>
      <c r="D88" s="40"/>
      <c r="E88" s="40"/>
      <c r="F88" s="40">
        <f t="shared" si="4"/>
        <v>36.055350553505534</v>
      </c>
      <c r="G88" s="40">
        <f t="shared" si="5"/>
        <v>16.420295202952026</v>
      </c>
      <c r="H88" s="40">
        <f t="shared" si="4"/>
        <v>36.055350553505534</v>
      </c>
      <c r="I88" s="40">
        <f t="shared" si="5"/>
        <v>16.420295202952026</v>
      </c>
      <c r="J88" s="40">
        <f>50.8/Fanin_Table[[#This Row],[FaninResistor]]</f>
        <v>1.8745387453874536</v>
      </c>
      <c r="K88" s="40">
        <f>-1.2 + 273/Fanin_Table[[#This Row],[FaninResistor]]</f>
        <v>8.8738007380073807</v>
      </c>
      <c r="L88" s="40">
        <f>19.5/(Fanin_Table[[#This Row],[FaninResistor]]*1)</f>
        <v>0.71955719557195563</v>
      </c>
    </row>
    <row r="89" spans="2:12" x14ac:dyDescent="0.25">
      <c r="B89">
        <v>27.4</v>
      </c>
      <c r="C89" s="75">
        <f t="shared" si="3"/>
        <v>1.4233576642335768</v>
      </c>
      <c r="D89" s="40"/>
      <c r="E89" s="40"/>
      <c r="F89" s="40">
        <f t="shared" si="4"/>
        <v>35.67153284671533</v>
      </c>
      <c r="G89" s="40">
        <f t="shared" si="5"/>
        <v>16.244890510948906</v>
      </c>
      <c r="H89" s="40">
        <f t="shared" si="4"/>
        <v>35.67153284671533</v>
      </c>
      <c r="I89" s="40">
        <f t="shared" si="5"/>
        <v>16.244890510948906</v>
      </c>
      <c r="J89" s="40">
        <f>50.8/Fanin_Table[[#This Row],[FaninResistor]]</f>
        <v>1.8540145985401459</v>
      </c>
      <c r="K89" s="40">
        <f>-1.2 + 273/Fanin_Table[[#This Row],[FaninResistor]]</f>
        <v>8.7635036496350374</v>
      </c>
      <c r="L89" s="40">
        <f>19.5/(Fanin_Table[[#This Row],[FaninResistor]]*1)</f>
        <v>0.7116788321167884</v>
      </c>
    </row>
    <row r="90" spans="2:12" x14ac:dyDescent="0.25">
      <c r="B90">
        <v>27.7</v>
      </c>
      <c r="C90" s="75">
        <f t="shared" si="3"/>
        <v>1.407942238267148</v>
      </c>
      <c r="D90" s="40"/>
      <c r="E90" s="40"/>
      <c r="F90" s="40">
        <f t="shared" si="4"/>
        <v>35.29602888086643</v>
      </c>
      <c r="G90" s="40">
        <f t="shared" si="5"/>
        <v>16.073285198555954</v>
      </c>
      <c r="H90" s="40">
        <f t="shared" si="4"/>
        <v>35.29602888086643</v>
      </c>
      <c r="I90" s="40">
        <f t="shared" si="5"/>
        <v>16.073285198555954</v>
      </c>
      <c r="J90" s="40">
        <f>50.8/Fanin_Table[[#This Row],[FaninResistor]]</f>
        <v>1.8339350180505414</v>
      </c>
      <c r="K90" s="40">
        <f>-1.2 + 273/Fanin_Table[[#This Row],[FaninResistor]]</f>
        <v>8.6555956678700365</v>
      </c>
      <c r="L90" s="40">
        <f>19.5/(Fanin_Table[[#This Row],[FaninResistor]]*1)</f>
        <v>0.70397111913357402</v>
      </c>
    </row>
    <row r="91" spans="2:12" x14ac:dyDescent="0.25">
      <c r="B91">
        <v>28</v>
      </c>
      <c r="C91" s="75">
        <f t="shared" si="3"/>
        <v>1.3928571428571428</v>
      </c>
      <c r="D91" s="40"/>
      <c r="E91" s="40"/>
      <c r="F91" s="40">
        <f t="shared" si="4"/>
        <v>34.928571428571423</v>
      </c>
      <c r="G91" s="40">
        <f t="shared" si="5"/>
        <v>15.905357142857142</v>
      </c>
      <c r="H91" s="40">
        <f t="shared" si="4"/>
        <v>34.928571428571423</v>
      </c>
      <c r="I91" s="40">
        <f t="shared" si="5"/>
        <v>15.905357142857142</v>
      </c>
      <c r="J91" s="40">
        <f>50.8/Fanin_Table[[#This Row],[FaninResistor]]</f>
        <v>1.8142857142857143</v>
      </c>
      <c r="K91" s="40">
        <f>-1.2 + 273/Fanin_Table[[#This Row],[FaninResistor]]</f>
        <v>8.5500000000000007</v>
      </c>
      <c r="L91" s="40">
        <f>19.5/(Fanin_Table[[#This Row],[FaninResistor]]*1)</f>
        <v>0.6964285714285714</v>
      </c>
    </row>
    <row r="92" spans="2:12" x14ac:dyDescent="0.25">
      <c r="B92">
        <v>28.4</v>
      </c>
      <c r="C92" s="75">
        <f t="shared" si="3"/>
        <v>1.3732394366197185</v>
      </c>
      <c r="D92" s="40"/>
      <c r="E92" s="40"/>
      <c r="F92" s="40">
        <f t="shared" si="4"/>
        <v>34.450704225352112</v>
      </c>
      <c r="G92" s="40">
        <f t="shared" si="5"/>
        <v>15.686971830985916</v>
      </c>
      <c r="H92" s="40">
        <f t="shared" si="4"/>
        <v>34.450704225352112</v>
      </c>
      <c r="I92" s="40">
        <f t="shared" si="5"/>
        <v>15.686971830985916</v>
      </c>
      <c r="J92" s="40">
        <f>50.8/Fanin_Table[[#This Row],[FaninResistor]]</f>
        <v>1.7887323943661972</v>
      </c>
      <c r="K92" s="40">
        <f>-1.2 + 273/Fanin_Table[[#This Row],[FaninResistor]]</f>
        <v>8.4126760563380287</v>
      </c>
      <c r="L92" s="40">
        <f>19.5/(Fanin_Table[[#This Row],[FaninResistor]]*1)</f>
        <v>0.68661971830985924</v>
      </c>
    </row>
    <row r="93" spans="2:12" x14ac:dyDescent="0.25">
      <c r="B93">
        <v>28.7</v>
      </c>
      <c r="C93" s="75">
        <f t="shared" si="3"/>
        <v>1.3588850174216027</v>
      </c>
      <c r="D93" s="40"/>
      <c r="E93" s="40"/>
      <c r="F93" s="40">
        <f t="shared" si="4"/>
        <v>34.10104529616725</v>
      </c>
      <c r="G93" s="40">
        <f t="shared" si="5"/>
        <v>15.527177700348432</v>
      </c>
      <c r="H93" s="40">
        <f t="shared" si="4"/>
        <v>34.10104529616725</v>
      </c>
      <c r="I93" s="40">
        <f t="shared" si="5"/>
        <v>15.527177700348432</v>
      </c>
      <c r="J93" s="40">
        <f>50.8/Fanin_Table[[#This Row],[FaninResistor]]</f>
        <v>1.7700348432055748</v>
      </c>
      <c r="K93" s="40">
        <f>-1.2 + 273/Fanin_Table[[#This Row],[FaninResistor]]</f>
        <v>8.3121951219512198</v>
      </c>
      <c r="L93" s="40">
        <f>19.5/(Fanin_Table[[#This Row],[FaninResistor]]*1)</f>
        <v>0.67944250871080136</v>
      </c>
    </row>
    <row r="94" spans="2:12" x14ac:dyDescent="0.25">
      <c r="B94">
        <v>29.1</v>
      </c>
      <c r="C94" s="75">
        <f t="shared" si="3"/>
        <v>1.3402061855670102</v>
      </c>
      <c r="D94" s="40"/>
      <c r="E94" s="40"/>
      <c r="F94" s="40">
        <f t="shared" si="4"/>
        <v>33.646048109965641</v>
      </c>
      <c r="G94" s="40">
        <f t="shared" si="5"/>
        <v>15.319243986254294</v>
      </c>
      <c r="H94" s="40">
        <f t="shared" si="4"/>
        <v>33.646048109965641</v>
      </c>
      <c r="I94" s="40">
        <f t="shared" si="5"/>
        <v>15.319243986254294</v>
      </c>
      <c r="J94" s="40">
        <f>50.8/Fanin_Table[[#This Row],[FaninResistor]]</f>
        <v>1.7457044673539517</v>
      </c>
      <c r="K94" s="40">
        <f>-1.2 + 273/Fanin_Table[[#This Row],[FaninResistor]]</f>
        <v>8.1814432989690733</v>
      </c>
      <c r="L94" s="40">
        <f>19.5/(Fanin_Table[[#This Row],[FaninResistor]]*1)</f>
        <v>0.67010309278350511</v>
      </c>
    </row>
    <row r="95" spans="2:12" x14ac:dyDescent="0.25">
      <c r="B95">
        <v>29.4</v>
      </c>
      <c r="C95" s="75">
        <f t="shared" si="3"/>
        <v>1.3265306122448981</v>
      </c>
      <c r="D95" s="40"/>
      <c r="E95" s="40"/>
      <c r="F95" s="40">
        <f t="shared" si="4"/>
        <v>33.312925170068027</v>
      </c>
      <c r="G95" s="40">
        <f t="shared" si="5"/>
        <v>15.167006802721088</v>
      </c>
      <c r="H95" s="40">
        <f t="shared" si="4"/>
        <v>33.312925170068027</v>
      </c>
      <c r="I95" s="40">
        <f t="shared" si="5"/>
        <v>15.167006802721088</v>
      </c>
      <c r="J95" s="40">
        <f>50.8/Fanin_Table[[#This Row],[FaninResistor]]</f>
        <v>1.727891156462585</v>
      </c>
      <c r="K95" s="40">
        <f>-1.2 + 273/Fanin_Table[[#This Row],[FaninResistor]]</f>
        <v>8.0857142857142872</v>
      </c>
      <c r="L95" s="40">
        <f>19.5/(Fanin_Table[[#This Row],[FaninResistor]]*1)</f>
        <v>0.66326530612244905</v>
      </c>
    </row>
    <row r="96" spans="2:12" x14ac:dyDescent="0.25">
      <c r="B96">
        <v>29.8</v>
      </c>
      <c r="C96" s="75">
        <f t="shared" si="3"/>
        <v>1.3087248322147651</v>
      </c>
      <c r="D96" s="40"/>
      <c r="E96" s="40"/>
      <c r="F96" s="40">
        <f t="shared" si="4"/>
        <v>32.879194630872483</v>
      </c>
      <c r="G96" s="40">
        <f t="shared" si="5"/>
        <v>14.968791946308723</v>
      </c>
      <c r="H96" s="40">
        <f t="shared" si="4"/>
        <v>32.879194630872483</v>
      </c>
      <c r="I96" s="40">
        <f t="shared" si="5"/>
        <v>14.968791946308723</v>
      </c>
      <c r="J96" s="40">
        <f>50.8/Fanin_Table[[#This Row],[FaninResistor]]</f>
        <v>1.704697986577181</v>
      </c>
      <c r="K96" s="40">
        <f>-1.2 + 273/Fanin_Table[[#This Row],[FaninResistor]]</f>
        <v>7.9610738255033562</v>
      </c>
      <c r="L96" s="40">
        <f>19.5/(Fanin_Table[[#This Row],[FaninResistor]]*1)</f>
        <v>0.65436241610738255</v>
      </c>
    </row>
    <row r="97" spans="2:12" x14ac:dyDescent="0.25">
      <c r="B97">
        <v>30.1</v>
      </c>
      <c r="C97" s="75">
        <f t="shared" si="3"/>
        <v>1.2956810631229236</v>
      </c>
      <c r="D97" s="40"/>
      <c r="E97" s="40"/>
      <c r="F97" s="40">
        <f t="shared" si="4"/>
        <v>32.561461794019934</v>
      </c>
      <c r="G97" s="40">
        <f t="shared" si="5"/>
        <v>14.823588039867108</v>
      </c>
      <c r="H97" s="40">
        <f t="shared" si="4"/>
        <v>32.561461794019934</v>
      </c>
      <c r="I97" s="40">
        <f t="shared" si="5"/>
        <v>14.823588039867108</v>
      </c>
      <c r="J97" s="40">
        <f>50.8/Fanin_Table[[#This Row],[FaninResistor]]</f>
        <v>1.687707641196013</v>
      </c>
      <c r="K97" s="40">
        <f>-1.2 + 273/Fanin_Table[[#This Row],[FaninResistor]]</f>
        <v>7.8697674418604651</v>
      </c>
      <c r="L97" s="40">
        <f>19.5/(Fanin_Table[[#This Row],[FaninResistor]]*1)</f>
        <v>0.64784053156146182</v>
      </c>
    </row>
    <row r="98" spans="2:12" x14ac:dyDescent="0.25">
      <c r="B98">
        <v>30.5</v>
      </c>
      <c r="C98" s="75">
        <f t="shared" si="3"/>
        <v>1.278688524590164</v>
      </c>
      <c r="D98" s="40"/>
      <c r="E98" s="40"/>
      <c r="F98" s="40">
        <f t="shared" si="4"/>
        <v>32.147540983606561</v>
      </c>
      <c r="G98" s="40">
        <f t="shared" si="5"/>
        <v>14.634426229508197</v>
      </c>
      <c r="H98" s="40">
        <f t="shared" si="4"/>
        <v>32.147540983606561</v>
      </c>
      <c r="I98" s="40">
        <f t="shared" si="5"/>
        <v>14.634426229508197</v>
      </c>
      <c r="J98" s="40">
        <f>50.8/Fanin_Table[[#This Row],[FaninResistor]]</f>
        <v>1.6655737704918032</v>
      </c>
      <c r="K98" s="40">
        <f>-1.2 + 273/Fanin_Table[[#This Row],[FaninResistor]]</f>
        <v>7.750819672131148</v>
      </c>
      <c r="L98" s="40">
        <f>19.5/(Fanin_Table[[#This Row],[FaninResistor]]*1)</f>
        <v>0.63934426229508201</v>
      </c>
    </row>
    <row r="99" spans="2:12" x14ac:dyDescent="0.25">
      <c r="B99">
        <v>30.9</v>
      </c>
      <c r="C99" s="75">
        <f t="shared" si="3"/>
        <v>1.2621359223300972</v>
      </c>
      <c r="D99" s="40"/>
      <c r="E99" s="40"/>
      <c r="F99" s="40">
        <f t="shared" si="4"/>
        <v>31.744336569579286</v>
      </c>
      <c r="G99" s="40">
        <f t="shared" si="5"/>
        <v>14.450161812297734</v>
      </c>
      <c r="H99" s="40">
        <f t="shared" si="4"/>
        <v>31.744336569579286</v>
      </c>
      <c r="I99" s="40">
        <f t="shared" si="5"/>
        <v>14.450161812297734</v>
      </c>
      <c r="J99" s="40">
        <f>50.8/Fanin_Table[[#This Row],[FaninResistor]]</f>
        <v>1.6440129449838188</v>
      </c>
      <c r="K99" s="40">
        <f>-1.2 + 273/Fanin_Table[[#This Row],[FaninResistor]]</f>
        <v>7.63495145631068</v>
      </c>
      <c r="L99" s="40">
        <f>19.5/(Fanin_Table[[#This Row],[FaninResistor]]*1)</f>
        <v>0.6310679611650486</v>
      </c>
    </row>
    <row r="100" spans="2:12" x14ac:dyDescent="0.25">
      <c r="B100">
        <v>31.2</v>
      </c>
      <c r="C100" s="75">
        <f t="shared" si="3"/>
        <v>1.25</v>
      </c>
      <c r="D100" s="40"/>
      <c r="E100" s="40"/>
      <c r="F100" s="40">
        <f t="shared" si="4"/>
        <v>31.448717948717945</v>
      </c>
      <c r="G100" s="40">
        <f t="shared" si="5"/>
        <v>14.315064102564103</v>
      </c>
      <c r="H100" s="40">
        <f t="shared" si="4"/>
        <v>31.448717948717945</v>
      </c>
      <c r="I100" s="40">
        <f t="shared" si="5"/>
        <v>14.315064102564103</v>
      </c>
      <c r="J100" s="40">
        <f>50.8/Fanin_Table[[#This Row],[FaninResistor]]</f>
        <v>1.6282051282051282</v>
      </c>
      <c r="K100" s="40">
        <f>-1.2 + 273/Fanin_Table[[#This Row],[FaninResistor]]</f>
        <v>7.55</v>
      </c>
      <c r="L100" s="40">
        <f>19.5/(Fanin_Table[[#This Row],[FaninResistor]]*1)</f>
        <v>0.625</v>
      </c>
    </row>
    <row r="101" spans="2:12" x14ac:dyDescent="0.25">
      <c r="B101">
        <v>31.6</v>
      </c>
      <c r="C101" s="75">
        <f t="shared" si="3"/>
        <v>1.2341772151898733</v>
      </c>
      <c r="D101" s="40"/>
      <c r="E101" s="40"/>
      <c r="F101" s="40">
        <f t="shared" si="4"/>
        <v>31.063291139240508</v>
      </c>
      <c r="G101" s="40">
        <f t="shared" si="5"/>
        <v>14.138924050632911</v>
      </c>
      <c r="H101" s="40">
        <f t="shared" si="4"/>
        <v>31.063291139240508</v>
      </c>
      <c r="I101" s="40">
        <f t="shared" si="5"/>
        <v>14.138924050632911</v>
      </c>
      <c r="J101" s="40">
        <f>50.8/Fanin_Table[[#This Row],[FaninResistor]]</f>
        <v>1.6075949367088607</v>
      </c>
      <c r="K101" s="40">
        <f>-1.2 + 273/Fanin_Table[[#This Row],[FaninResistor]]</f>
        <v>7.4392405063291127</v>
      </c>
      <c r="L101" s="40">
        <f>19.5/(Fanin_Table[[#This Row],[FaninResistor]]*1)</f>
        <v>0.61708860759493667</v>
      </c>
    </row>
    <row r="102" spans="2:12" x14ac:dyDescent="0.25">
      <c r="B102">
        <v>32</v>
      </c>
      <c r="C102" s="75">
        <f t="shared" si="3"/>
        <v>1.21875</v>
      </c>
      <c r="D102" s="40"/>
      <c r="E102" s="40"/>
      <c r="F102" s="40">
        <f t="shared" si="4"/>
        <v>30.6875</v>
      </c>
      <c r="G102" s="40">
        <f t="shared" si="5"/>
        <v>13.9671875</v>
      </c>
      <c r="H102" s="40">
        <f t="shared" si="4"/>
        <v>30.6875</v>
      </c>
      <c r="I102" s="40">
        <f t="shared" si="5"/>
        <v>13.9671875</v>
      </c>
      <c r="J102" s="40">
        <f>50.8/Fanin_Table[[#This Row],[FaninResistor]]</f>
        <v>1.5874999999999999</v>
      </c>
      <c r="K102" s="40">
        <f>-1.2 + 273/Fanin_Table[[#This Row],[FaninResistor]]</f>
        <v>7.3312499999999998</v>
      </c>
      <c r="L102" s="40">
        <f>19.5/(Fanin_Table[[#This Row],[FaninResistor]]*1)</f>
        <v>0.609375</v>
      </c>
    </row>
    <row r="103" spans="2:12" x14ac:dyDescent="0.25">
      <c r="B103">
        <v>32.4</v>
      </c>
      <c r="C103" s="75">
        <f t="shared" si="3"/>
        <v>1.2037037037037037</v>
      </c>
      <c r="D103" s="40"/>
      <c r="E103" s="40"/>
      <c r="F103" s="40">
        <f t="shared" si="4"/>
        <v>30.320987654320987</v>
      </c>
      <c r="G103" s="40">
        <f t="shared" si="5"/>
        <v>13.799691358024692</v>
      </c>
      <c r="H103" s="40">
        <f t="shared" si="4"/>
        <v>30.320987654320987</v>
      </c>
      <c r="I103" s="40">
        <f t="shared" si="5"/>
        <v>13.799691358024692</v>
      </c>
      <c r="J103" s="40">
        <f>50.8/Fanin_Table[[#This Row],[FaninResistor]]</f>
        <v>1.5679012345679013</v>
      </c>
      <c r="K103" s="40">
        <f>-1.2 + 273/Fanin_Table[[#This Row],[FaninResistor]]</f>
        <v>7.2259259259259254</v>
      </c>
      <c r="L103" s="40">
        <f>19.5/(Fanin_Table[[#This Row],[FaninResistor]]*1)</f>
        <v>0.60185185185185186</v>
      </c>
    </row>
    <row r="104" spans="2:12" x14ac:dyDescent="0.25">
      <c r="B104">
        <v>32.799999999999997</v>
      </c>
      <c r="C104" s="75">
        <f t="shared" si="3"/>
        <v>1.1890243902439026</v>
      </c>
      <c r="D104" s="40"/>
      <c r="E104" s="40"/>
      <c r="F104" s="40">
        <f t="shared" si="4"/>
        <v>29.963414634146343</v>
      </c>
      <c r="G104" s="40">
        <f t="shared" si="5"/>
        <v>13.636280487804878</v>
      </c>
      <c r="H104" s="40">
        <f t="shared" si="4"/>
        <v>29.963414634146343</v>
      </c>
      <c r="I104" s="40">
        <f t="shared" si="5"/>
        <v>13.636280487804878</v>
      </c>
      <c r="J104" s="40">
        <f>50.8/Fanin_Table[[#This Row],[FaninResistor]]</f>
        <v>1.5487804878048781</v>
      </c>
      <c r="K104" s="40">
        <f>-1.2 + 273/Fanin_Table[[#This Row],[FaninResistor]]</f>
        <v>7.1231707317073178</v>
      </c>
      <c r="L104" s="40">
        <f>19.5/(Fanin_Table[[#This Row],[FaninResistor]]*1)</f>
        <v>0.5945121951219513</v>
      </c>
    </row>
    <row r="105" spans="2:12" x14ac:dyDescent="0.25">
      <c r="B105">
        <v>33.200000000000003</v>
      </c>
      <c r="C105" s="75">
        <f t="shared" si="3"/>
        <v>1.1746987951807228</v>
      </c>
      <c r="D105" s="40"/>
      <c r="E105" s="40"/>
      <c r="F105" s="40">
        <f t="shared" si="4"/>
        <v>29.6144578313253</v>
      </c>
      <c r="G105" s="40">
        <f t="shared" si="5"/>
        <v>13.476807228915661</v>
      </c>
      <c r="H105" s="40">
        <f t="shared" si="4"/>
        <v>29.6144578313253</v>
      </c>
      <c r="I105" s="40">
        <f t="shared" si="5"/>
        <v>13.476807228915661</v>
      </c>
      <c r="J105" s="40">
        <f>50.8/Fanin_Table[[#This Row],[FaninResistor]]</f>
        <v>1.5301204819277106</v>
      </c>
      <c r="K105" s="40">
        <f>-1.2 + 273/Fanin_Table[[#This Row],[FaninResistor]]</f>
        <v>7.0228915662650602</v>
      </c>
      <c r="L105" s="40">
        <f>19.5/(Fanin_Table[[#This Row],[FaninResistor]]*1)</f>
        <v>0.58734939759036142</v>
      </c>
    </row>
    <row r="106" spans="2:12" x14ac:dyDescent="0.25">
      <c r="B106">
        <v>33.6</v>
      </c>
      <c r="C106" s="75">
        <f t="shared" si="3"/>
        <v>1.1607142857142856</v>
      </c>
      <c r="D106" s="40"/>
      <c r="E106" s="40"/>
      <c r="F106" s="40">
        <f t="shared" si="4"/>
        <v>29.273809523809526</v>
      </c>
      <c r="G106" s="40">
        <f t="shared" si="5"/>
        <v>13.321130952380951</v>
      </c>
      <c r="H106" s="40">
        <f t="shared" si="4"/>
        <v>29.273809523809526</v>
      </c>
      <c r="I106" s="40">
        <f t="shared" si="5"/>
        <v>13.321130952380951</v>
      </c>
      <c r="J106" s="40">
        <f>50.8/Fanin_Table[[#This Row],[FaninResistor]]</f>
        <v>1.5119047619047619</v>
      </c>
      <c r="K106" s="40">
        <f>-1.2 + 273/Fanin_Table[[#This Row],[FaninResistor]]</f>
        <v>6.9249999999999998</v>
      </c>
      <c r="L106" s="40">
        <f>19.5/(Fanin_Table[[#This Row],[FaninResistor]]*1)</f>
        <v>0.58035714285714279</v>
      </c>
    </row>
    <row r="107" spans="2:12" x14ac:dyDescent="0.25">
      <c r="B107">
        <v>34</v>
      </c>
      <c r="C107" s="75">
        <f t="shared" si="3"/>
        <v>1.1470588235294117</v>
      </c>
      <c r="D107" s="40"/>
      <c r="E107" s="40"/>
      <c r="F107" s="40">
        <f t="shared" si="4"/>
        <v>28.941176470588239</v>
      </c>
      <c r="G107" s="40">
        <f t="shared" si="5"/>
        <v>13.169117647058822</v>
      </c>
      <c r="H107" s="40">
        <f t="shared" si="4"/>
        <v>28.941176470588239</v>
      </c>
      <c r="I107" s="40">
        <f t="shared" si="5"/>
        <v>13.169117647058822</v>
      </c>
      <c r="J107" s="40">
        <f>50.8/Fanin_Table[[#This Row],[FaninResistor]]</f>
        <v>1.4941176470588236</v>
      </c>
      <c r="K107" s="40">
        <f>-1.2 + 273/Fanin_Table[[#This Row],[FaninResistor]]</f>
        <v>6.8294117647058821</v>
      </c>
      <c r="L107" s="40">
        <f>19.5/(Fanin_Table[[#This Row],[FaninResistor]]*1)</f>
        <v>0.57352941176470584</v>
      </c>
    </row>
    <row r="108" spans="2:12" x14ac:dyDescent="0.25">
      <c r="B108">
        <v>34.4</v>
      </c>
      <c r="C108" s="75">
        <f t="shared" si="3"/>
        <v>1.1337209302325582</v>
      </c>
      <c r="D108" s="40"/>
      <c r="E108" s="40"/>
      <c r="F108" s="40">
        <f t="shared" si="4"/>
        <v>28.616279069767444</v>
      </c>
      <c r="G108" s="40">
        <f t="shared" si="5"/>
        <v>13.020639534883721</v>
      </c>
      <c r="H108" s="40">
        <f t="shared" si="4"/>
        <v>28.616279069767444</v>
      </c>
      <c r="I108" s="40">
        <f t="shared" si="5"/>
        <v>13.020639534883721</v>
      </c>
      <c r="J108" s="40">
        <f>50.8/Fanin_Table[[#This Row],[FaninResistor]]</f>
        <v>1.4767441860465116</v>
      </c>
      <c r="K108" s="40">
        <f>-1.2 + 273/Fanin_Table[[#This Row],[FaninResistor]]</f>
        <v>6.7360465116279071</v>
      </c>
      <c r="L108" s="40">
        <f>19.5/(Fanin_Table[[#This Row],[FaninResistor]]*1)</f>
        <v>0.56686046511627908</v>
      </c>
    </row>
    <row r="109" spans="2:12" x14ac:dyDescent="0.25">
      <c r="B109">
        <v>34.799999999999997</v>
      </c>
      <c r="C109" s="75">
        <f t="shared" si="3"/>
        <v>1.1206896551724139</v>
      </c>
      <c r="D109" s="40"/>
      <c r="E109" s="40"/>
      <c r="F109" s="40">
        <f t="shared" si="4"/>
        <v>28.298850574712645</v>
      </c>
      <c r="G109" s="40">
        <f t="shared" si="5"/>
        <v>12.875574712643679</v>
      </c>
      <c r="H109" s="40">
        <f t="shared" si="4"/>
        <v>28.298850574712645</v>
      </c>
      <c r="I109" s="40">
        <f t="shared" si="5"/>
        <v>12.875574712643679</v>
      </c>
      <c r="J109" s="40">
        <f>50.8/Fanin_Table[[#This Row],[FaninResistor]]</f>
        <v>1.4597701149425288</v>
      </c>
      <c r="K109" s="40">
        <f>-1.2 + 273/Fanin_Table[[#This Row],[FaninResistor]]</f>
        <v>6.6448275862068966</v>
      </c>
      <c r="L109" s="40">
        <f>19.5/(Fanin_Table[[#This Row],[FaninResistor]]*1)</f>
        <v>0.56034482758620696</v>
      </c>
    </row>
    <row r="110" spans="2:12" x14ac:dyDescent="0.25">
      <c r="B110">
        <v>35.200000000000003</v>
      </c>
      <c r="C110" s="75">
        <f t="shared" si="3"/>
        <v>1.1079545454545454</v>
      </c>
      <c r="D110" s="40"/>
      <c r="E110" s="40"/>
      <c r="F110" s="40">
        <f t="shared" si="4"/>
        <v>27.988636363636363</v>
      </c>
      <c r="G110" s="40">
        <f t="shared" si="5"/>
        <v>12.733806818181817</v>
      </c>
      <c r="H110" s="40">
        <f t="shared" si="4"/>
        <v>27.988636363636363</v>
      </c>
      <c r="I110" s="40">
        <f t="shared" si="5"/>
        <v>12.733806818181817</v>
      </c>
      <c r="J110" s="40">
        <f>50.8/Fanin_Table[[#This Row],[FaninResistor]]</f>
        <v>1.4431818181818179</v>
      </c>
      <c r="K110" s="40">
        <f>-1.2 + 273/Fanin_Table[[#This Row],[FaninResistor]]</f>
        <v>6.5556818181818173</v>
      </c>
      <c r="L110" s="40">
        <f>19.5/(Fanin_Table[[#This Row],[FaninResistor]]*1)</f>
        <v>0.55397727272727271</v>
      </c>
    </row>
    <row r="111" spans="2:12" x14ac:dyDescent="0.25">
      <c r="B111">
        <v>35.700000000000003</v>
      </c>
      <c r="C111" s="75">
        <f t="shared" si="3"/>
        <v>1.0924369747899159</v>
      </c>
      <c r="D111" s="40"/>
      <c r="E111" s="40"/>
      <c r="F111" s="40">
        <f t="shared" si="4"/>
        <v>27.610644257703083</v>
      </c>
      <c r="G111" s="40">
        <f t="shared" si="5"/>
        <v>12.561064425770306</v>
      </c>
      <c r="H111" s="40">
        <f t="shared" si="4"/>
        <v>27.610644257703083</v>
      </c>
      <c r="I111" s="40">
        <f t="shared" si="5"/>
        <v>12.561064425770306</v>
      </c>
      <c r="J111" s="40">
        <f>50.8/Fanin_Table[[#This Row],[FaninResistor]]</f>
        <v>1.4229691876750699</v>
      </c>
      <c r="K111" s="40">
        <f>-1.2 + 273/Fanin_Table[[#This Row],[FaninResistor]]</f>
        <v>6.4470588235294111</v>
      </c>
      <c r="L111" s="40">
        <f>19.5/(Fanin_Table[[#This Row],[FaninResistor]]*1)</f>
        <v>0.54621848739495793</v>
      </c>
    </row>
    <row r="112" spans="2:12" x14ac:dyDescent="0.25">
      <c r="B112">
        <v>36.1</v>
      </c>
      <c r="C112" s="75">
        <f t="shared" si="3"/>
        <v>1.0803324099722991</v>
      </c>
      <c r="D112" s="40"/>
      <c r="E112" s="40"/>
      <c r="F112" s="40">
        <f t="shared" si="4"/>
        <v>27.315789473684209</v>
      </c>
      <c r="G112" s="40">
        <f t="shared" si="5"/>
        <v>12.426315789473684</v>
      </c>
      <c r="H112" s="40">
        <f t="shared" si="4"/>
        <v>27.315789473684209</v>
      </c>
      <c r="I112" s="40">
        <f t="shared" si="5"/>
        <v>12.426315789473684</v>
      </c>
      <c r="J112" s="40">
        <f>50.8/Fanin_Table[[#This Row],[FaninResistor]]</f>
        <v>1.4072022160664819</v>
      </c>
      <c r="K112" s="40">
        <f>-1.2 + 273/Fanin_Table[[#This Row],[FaninResistor]]</f>
        <v>6.3623268698060933</v>
      </c>
      <c r="L112" s="40">
        <f>19.5/(Fanin_Table[[#This Row],[FaninResistor]]*1)</f>
        <v>0.54016620498614953</v>
      </c>
    </row>
    <row r="113" spans="2:12" x14ac:dyDescent="0.25">
      <c r="B113">
        <v>36.5</v>
      </c>
      <c r="C113" s="75">
        <f t="shared" si="3"/>
        <v>1.0684931506849316</v>
      </c>
      <c r="D113" s="40"/>
      <c r="E113" s="40"/>
      <c r="F113" s="40">
        <f t="shared" si="4"/>
        <v>27.027397260273975</v>
      </c>
      <c r="G113" s="40">
        <f t="shared" si="5"/>
        <v>12.294520547945206</v>
      </c>
      <c r="H113" s="40">
        <f t="shared" si="4"/>
        <v>27.027397260273975</v>
      </c>
      <c r="I113" s="40">
        <f t="shared" si="5"/>
        <v>12.294520547945206</v>
      </c>
      <c r="J113" s="40">
        <f>50.8/Fanin_Table[[#This Row],[FaninResistor]]</f>
        <v>1.3917808219178081</v>
      </c>
      <c r="K113" s="40">
        <f>-1.2 + 273/Fanin_Table[[#This Row],[FaninResistor]]</f>
        <v>6.2794520547945201</v>
      </c>
      <c r="L113" s="40">
        <f>19.5/(Fanin_Table[[#This Row],[FaninResistor]]*1)</f>
        <v>0.53424657534246578</v>
      </c>
    </row>
    <row r="114" spans="2:12" x14ac:dyDescent="0.25">
      <c r="B114">
        <v>37</v>
      </c>
      <c r="C114" s="75">
        <f t="shared" si="3"/>
        <v>1.0540540540540539</v>
      </c>
      <c r="D114" s="40"/>
      <c r="E114" s="40"/>
      <c r="F114" s="40">
        <f t="shared" si="4"/>
        <v>26.675675675675677</v>
      </c>
      <c r="G114" s="40">
        <f t="shared" si="5"/>
        <v>12.133783783783784</v>
      </c>
      <c r="H114" s="40">
        <f t="shared" si="4"/>
        <v>26.675675675675677</v>
      </c>
      <c r="I114" s="40">
        <f t="shared" si="5"/>
        <v>12.133783783783784</v>
      </c>
      <c r="J114" s="40">
        <f>50.8/Fanin_Table[[#This Row],[FaninResistor]]</f>
        <v>1.3729729729729729</v>
      </c>
      <c r="K114" s="40">
        <f>-1.2 + 273/Fanin_Table[[#This Row],[FaninResistor]]</f>
        <v>6.1783783783783779</v>
      </c>
      <c r="L114" s="40">
        <f>19.5/(Fanin_Table[[#This Row],[FaninResistor]]*1)</f>
        <v>0.52702702702702697</v>
      </c>
    </row>
    <row r="115" spans="2:12" x14ac:dyDescent="0.25">
      <c r="B115">
        <v>37.4</v>
      </c>
      <c r="C115" s="75">
        <f t="shared" si="3"/>
        <v>1.0427807486631016</v>
      </c>
      <c r="D115" s="40"/>
      <c r="E115" s="40"/>
      <c r="F115" s="40">
        <f t="shared" si="4"/>
        <v>26.401069518716579</v>
      </c>
      <c r="G115" s="40">
        <f t="shared" si="5"/>
        <v>12.008288770053476</v>
      </c>
      <c r="H115" s="40">
        <f t="shared" si="4"/>
        <v>26.401069518716579</v>
      </c>
      <c r="I115" s="40">
        <f t="shared" si="5"/>
        <v>12.008288770053476</v>
      </c>
      <c r="J115" s="40">
        <f>50.8/Fanin_Table[[#This Row],[FaninResistor]]</f>
        <v>1.3582887700534758</v>
      </c>
      <c r="K115" s="40">
        <f>-1.2 + 273/Fanin_Table[[#This Row],[FaninResistor]]</f>
        <v>6.0994652406417114</v>
      </c>
      <c r="L115" s="40">
        <f>19.5/(Fanin_Table[[#This Row],[FaninResistor]]*1)</f>
        <v>0.52139037433155078</v>
      </c>
    </row>
    <row r="116" spans="2:12" x14ac:dyDescent="0.25">
      <c r="B116">
        <v>37.9</v>
      </c>
      <c r="C116" s="75">
        <f t="shared" si="3"/>
        <v>1.029023746701847</v>
      </c>
      <c r="D116" s="40"/>
      <c r="E116" s="40"/>
      <c r="F116" s="40">
        <f t="shared" si="4"/>
        <v>26.065963060686016</v>
      </c>
      <c r="G116" s="40">
        <f t="shared" si="5"/>
        <v>11.855145118733509</v>
      </c>
      <c r="H116" s="40">
        <f t="shared" si="4"/>
        <v>26.065963060686016</v>
      </c>
      <c r="I116" s="40">
        <f t="shared" si="5"/>
        <v>11.855145118733509</v>
      </c>
      <c r="J116" s="40">
        <f>50.8/Fanin_Table[[#This Row],[FaninResistor]]</f>
        <v>1.3403693931398417</v>
      </c>
      <c r="K116" s="40">
        <f>-1.2 + 273/Fanin_Table[[#This Row],[FaninResistor]]</f>
        <v>6.0031662269129287</v>
      </c>
      <c r="L116" s="40">
        <f>19.5/(Fanin_Table[[#This Row],[FaninResistor]]*1)</f>
        <v>0.51451187335092352</v>
      </c>
    </row>
    <row r="117" spans="2:12" x14ac:dyDescent="0.25">
      <c r="B117">
        <v>38.299999999999997</v>
      </c>
      <c r="C117" s="75">
        <f t="shared" si="3"/>
        <v>1.0182767624020888</v>
      </c>
      <c r="D117" s="40"/>
      <c r="E117" s="40"/>
      <c r="F117" s="40">
        <f t="shared" si="4"/>
        <v>25.804177545691907</v>
      </c>
      <c r="G117" s="40">
        <f t="shared" si="5"/>
        <v>11.735509138381202</v>
      </c>
      <c r="H117" s="40">
        <f t="shared" si="4"/>
        <v>25.804177545691907</v>
      </c>
      <c r="I117" s="40">
        <f t="shared" si="5"/>
        <v>11.735509138381202</v>
      </c>
      <c r="J117" s="40">
        <f>50.8/Fanin_Table[[#This Row],[FaninResistor]]</f>
        <v>1.3263707571801566</v>
      </c>
      <c r="K117" s="40">
        <f>-1.2 + 273/Fanin_Table[[#This Row],[FaninResistor]]</f>
        <v>5.9279373368146215</v>
      </c>
      <c r="L117" s="40">
        <f>19.5/(Fanin_Table[[#This Row],[FaninResistor]]*1)</f>
        <v>0.50913838120104438</v>
      </c>
    </row>
    <row r="118" spans="2:12" x14ac:dyDescent="0.25">
      <c r="B118">
        <v>38.799999999999997</v>
      </c>
      <c r="C118" s="75">
        <f t="shared" si="3"/>
        <v>1.0051546391752577</v>
      </c>
      <c r="D118" s="40"/>
      <c r="E118" s="40"/>
      <c r="F118" s="40">
        <f t="shared" si="4"/>
        <v>25.484536082474229</v>
      </c>
      <c r="G118" s="40">
        <f t="shared" si="5"/>
        <v>11.589432989690723</v>
      </c>
      <c r="H118" s="40">
        <f t="shared" si="4"/>
        <v>25.484536082474229</v>
      </c>
      <c r="I118" s="40">
        <f t="shared" si="5"/>
        <v>11.589432989690723</v>
      </c>
      <c r="J118" s="40">
        <f>50.8/Fanin_Table[[#This Row],[FaninResistor]]</f>
        <v>1.3092783505154639</v>
      </c>
      <c r="K118" s="40">
        <f>-1.2 + 273/Fanin_Table[[#This Row],[FaninResistor]]</f>
        <v>5.8360824742268047</v>
      </c>
      <c r="L118" s="40">
        <f>19.5/(Fanin_Table[[#This Row],[FaninResistor]]*1)</f>
        <v>0.50257731958762886</v>
      </c>
    </row>
    <row r="119" spans="2:12" x14ac:dyDescent="0.25">
      <c r="B119">
        <v>39.200000000000003</v>
      </c>
      <c r="C119" s="75">
        <f t="shared" si="3"/>
        <v>0.99489795918367341</v>
      </c>
      <c r="D119" s="40"/>
      <c r="E119" s="40"/>
      <c r="F119" s="40">
        <f t="shared" si="4"/>
        <v>25.23469387755102</v>
      </c>
      <c r="G119" s="40">
        <f t="shared" si="5"/>
        <v>11.475255102040816</v>
      </c>
      <c r="H119" s="40">
        <f t="shared" si="4"/>
        <v>25.23469387755102</v>
      </c>
      <c r="I119" s="40">
        <f t="shared" si="5"/>
        <v>11.475255102040816</v>
      </c>
      <c r="J119" s="40">
        <f>50.8/Fanin_Table[[#This Row],[FaninResistor]]</f>
        <v>1.2959183673469385</v>
      </c>
      <c r="K119" s="40">
        <f>-1.2 + 273/Fanin_Table[[#This Row],[FaninResistor]]</f>
        <v>5.7642857142857133</v>
      </c>
      <c r="L119" s="40">
        <f>19.5/(Fanin_Table[[#This Row],[FaninResistor]]*1)</f>
        <v>0.4974489795918367</v>
      </c>
    </row>
    <row r="120" spans="2:12" x14ac:dyDescent="0.25">
      <c r="B120">
        <v>39.700000000000003</v>
      </c>
      <c r="C120" s="75">
        <f t="shared" si="3"/>
        <v>0.98236775818639788</v>
      </c>
      <c r="D120" s="40"/>
      <c r="E120" s="40"/>
      <c r="F120" s="40">
        <f t="shared" si="4"/>
        <v>24.929471032745592</v>
      </c>
      <c r="G120" s="40">
        <f t="shared" si="5"/>
        <v>11.335768261964734</v>
      </c>
      <c r="H120" s="40">
        <f t="shared" si="4"/>
        <v>24.929471032745592</v>
      </c>
      <c r="I120" s="40">
        <f t="shared" si="5"/>
        <v>11.335768261964734</v>
      </c>
      <c r="J120" s="40">
        <f>50.8/Fanin_Table[[#This Row],[FaninResistor]]</f>
        <v>1.2795969773299747</v>
      </c>
      <c r="K120" s="40">
        <f>-1.2 + 273/Fanin_Table[[#This Row],[FaninResistor]]</f>
        <v>5.6765743073047856</v>
      </c>
      <c r="L120" s="40">
        <f>19.5/(Fanin_Table[[#This Row],[FaninResistor]]*1)</f>
        <v>0.49118387909319894</v>
      </c>
    </row>
    <row r="121" spans="2:12" x14ac:dyDescent="0.25">
      <c r="B121">
        <v>40.200000000000003</v>
      </c>
      <c r="C121" s="75">
        <f t="shared" si="3"/>
        <v>0.9701492537313432</v>
      </c>
      <c r="D121" s="40"/>
      <c r="E121" s="40"/>
      <c r="F121" s="40">
        <f t="shared" si="4"/>
        <v>24.631840796019901</v>
      </c>
      <c r="G121" s="40">
        <f t="shared" si="5"/>
        <v>11.199751243781094</v>
      </c>
      <c r="H121" s="40">
        <f t="shared" si="4"/>
        <v>24.631840796019901</v>
      </c>
      <c r="I121" s="40">
        <f t="shared" si="5"/>
        <v>11.199751243781094</v>
      </c>
      <c r="J121" s="40">
        <f>50.8/Fanin_Table[[#This Row],[FaninResistor]]</f>
        <v>1.2636815920398008</v>
      </c>
      <c r="K121" s="40">
        <f>-1.2 + 273/Fanin_Table[[#This Row],[FaninResistor]]</f>
        <v>5.5910447761194026</v>
      </c>
      <c r="L121" s="40">
        <f>19.5/(Fanin_Table[[#This Row],[FaninResistor]]*1)</f>
        <v>0.4850746268656716</v>
      </c>
    </row>
    <row r="122" spans="2:12" x14ac:dyDescent="0.25">
      <c r="B122">
        <v>40.700000000000003</v>
      </c>
      <c r="C122" s="75">
        <f t="shared" si="3"/>
        <v>0.95823095823095816</v>
      </c>
      <c r="D122" s="40"/>
      <c r="E122" s="40"/>
      <c r="F122" s="40">
        <f t="shared" si="4"/>
        <v>24.341523341523342</v>
      </c>
      <c r="G122" s="40">
        <f t="shared" si="5"/>
        <v>11.067076167076166</v>
      </c>
      <c r="H122" s="40">
        <f t="shared" si="4"/>
        <v>24.341523341523342</v>
      </c>
      <c r="I122" s="40">
        <f t="shared" si="5"/>
        <v>11.067076167076166</v>
      </c>
      <c r="J122" s="40">
        <f>50.8/Fanin_Table[[#This Row],[FaninResistor]]</f>
        <v>1.248157248157248</v>
      </c>
      <c r="K122" s="40">
        <f>-1.2 + 273/Fanin_Table[[#This Row],[FaninResistor]]</f>
        <v>5.5076167076167071</v>
      </c>
      <c r="L122" s="40">
        <f>19.5/(Fanin_Table[[#This Row],[FaninResistor]]*1)</f>
        <v>0.47911547911547908</v>
      </c>
    </row>
    <row r="123" spans="2:12" x14ac:dyDescent="0.25">
      <c r="B123">
        <v>41.2</v>
      </c>
      <c r="C123" s="75">
        <f t="shared" si="3"/>
        <v>0.94660194174757273</v>
      </c>
      <c r="D123" s="40"/>
      <c r="E123" s="40"/>
      <c r="F123" s="40">
        <f t="shared" si="4"/>
        <v>24.058252427184467</v>
      </c>
      <c r="G123" s="40">
        <f t="shared" si="5"/>
        <v>10.9376213592233</v>
      </c>
      <c r="H123" s="40">
        <f t="shared" si="4"/>
        <v>24.058252427184467</v>
      </c>
      <c r="I123" s="40">
        <f t="shared" si="5"/>
        <v>10.9376213592233</v>
      </c>
      <c r="J123" s="40">
        <f>50.8/Fanin_Table[[#This Row],[FaninResistor]]</f>
        <v>1.233009708737864</v>
      </c>
      <c r="K123" s="40">
        <f>-1.2 + 273/Fanin_Table[[#This Row],[FaninResistor]]</f>
        <v>5.426213592233009</v>
      </c>
      <c r="L123" s="40">
        <f>19.5/(Fanin_Table[[#This Row],[FaninResistor]]*1)</f>
        <v>0.47330097087378636</v>
      </c>
    </row>
    <row r="124" spans="2:12" x14ac:dyDescent="0.25">
      <c r="B124">
        <v>41.7</v>
      </c>
      <c r="C124" s="75">
        <f t="shared" si="3"/>
        <v>0.93525179856115104</v>
      </c>
      <c r="D124" s="40"/>
      <c r="E124" s="40"/>
      <c r="F124" s="40">
        <f t="shared" si="4"/>
        <v>23.781774580335732</v>
      </c>
      <c r="G124" s="40">
        <f t="shared" si="5"/>
        <v>10.811270983213427</v>
      </c>
      <c r="H124" s="40">
        <f t="shared" si="4"/>
        <v>23.781774580335732</v>
      </c>
      <c r="I124" s="40">
        <f t="shared" si="5"/>
        <v>10.811270983213427</v>
      </c>
      <c r="J124" s="40">
        <f>50.8/Fanin_Table[[#This Row],[FaninResistor]]</f>
        <v>1.2182254196642683</v>
      </c>
      <c r="K124" s="40">
        <f>-1.2 + 273/Fanin_Table[[#This Row],[FaninResistor]]</f>
        <v>5.3467625899280566</v>
      </c>
      <c r="L124" s="40">
        <f>19.5/(Fanin_Table[[#This Row],[FaninResistor]]*1)</f>
        <v>0.46762589928057552</v>
      </c>
    </row>
    <row r="125" spans="2:12" x14ac:dyDescent="0.25">
      <c r="B125">
        <v>42.2</v>
      </c>
      <c r="C125" s="75">
        <f t="shared" si="3"/>
        <v>0.92417061611374396</v>
      </c>
      <c r="D125" s="40"/>
      <c r="E125" s="40"/>
      <c r="F125" s="40">
        <f t="shared" si="4"/>
        <v>23.511848341232227</v>
      </c>
      <c r="G125" s="40">
        <f t="shared" si="5"/>
        <v>10.687914691943128</v>
      </c>
      <c r="H125" s="40">
        <f t="shared" si="4"/>
        <v>23.511848341232227</v>
      </c>
      <c r="I125" s="40">
        <f t="shared" si="5"/>
        <v>10.687914691943128</v>
      </c>
      <c r="J125" s="40">
        <f>50.8/Fanin_Table[[#This Row],[FaninResistor]]</f>
        <v>1.2037914691943126</v>
      </c>
      <c r="K125" s="40">
        <f>-1.2 + 273/Fanin_Table[[#This Row],[FaninResistor]]</f>
        <v>5.2691943127962082</v>
      </c>
      <c r="L125" s="40">
        <f>19.5/(Fanin_Table[[#This Row],[FaninResistor]]*1)</f>
        <v>0.46208530805687198</v>
      </c>
    </row>
    <row r="126" spans="2:12" x14ac:dyDescent="0.25">
      <c r="B126">
        <v>42.7</v>
      </c>
      <c r="C126" s="75">
        <f t="shared" si="3"/>
        <v>0.91334894613583129</v>
      </c>
      <c r="D126" s="40"/>
      <c r="E126" s="40"/>
      <c r="F126" s="40">
        <f t="shared" si="4"/>
        <v>23.248243559718972</v>
      </c>
      <c r="G126" s="40">
        <f t="shared" si="5"/>
        <v>10.567447306791568</v>
      </c>
      <c r="H126" s="40">
        <f t="shared" si="4"/>
        <v>23.248243559718972</v>
      </c>
      <c r="I126" s="40">
        <f t="shared" si="5"/>
        <v>10.567447306791568</v>
      </c>
      <c r="J126" s="40">
        <f>50.8/Fanin_Table[[#This Row],[FaninResistor]]</f>
        <v>1.1896955503512878</v>
      </c>
      <c r="K126" s="40">
        <f>-1.2 + 273/Fanin_Table[[#This Row],[FaninResistor]]</f>
        <v>5.193442622950819</v>
      </c>
      <c r="L126" s="40">
        <f>19.5/(Fanin_Table[[#This Row],[FaninResistor]]*1)</f>
        <v>0.45667447306791564</v>
      </c>
    </row>
    <row r="127" spans="2:12" x14ac:dyDescent="0.25">
      <c r="B127">
        <v>43.2</v>
      </c>
      <c r="C127" s="75">
        <f t="shared" si="3"/>
        <v>0.90277777777777768</v>
      </c>
      <c r="D127" s="40"/>
      <c r="E127" s="40"/>
      <c r="F127" s="40">
        <f t="shared" si="4"/>
        <v>22.99074074074074</v>
      </c>
      <c r="G127" s="40">
        <f t="shared" si="5"/>
        <v>10.449768518518518</v>
      </c>
      <c r="H127" s="40">
        <f t="shared" si="4"/>
        <v>22.99074074074074</v>
      </c>
      <c r="I127" s="40">
        <f t="shared" si="5"/>
        <v>10.449768518518518</v>
      </c>
      <c r="J127" s="40">
        <f>50.8/Fanin_Table[[#This Row],[FaninResistor]]</f>
        <v>1.1759259259259258</v>
      </c>
      <c r="K127" s="40">
        <f>-1.2 + 273/Fanin_Table[[#This Row],[FaninResistor]]</f>
        <v>5.1194444444444436</v>
      </c>
      <c r="L127" s="40">
        <f>19.5/(Fanin_Table[[#This Row],[FaninResistor]]*1)</f>
        <v>0.45138888888888884</v>
      </c>
    </row>
    <row r="128" spans="2:12" x14ac:dyDescent="0.25">
      <c r="B128">
        <v>43.7</v>
      </c>
      <c r="C128" s="75">
        <f t="shared" si="3"/>
        <v>0.89244851258581226</v>
      </c>
      <c r="D128" s="40"/>
      <c r="E128" s="40"/>
      <c r="F128" s="40">
        <f t="shared" si="4"/>
        <v>22.739130434782609</v>
      </c>
      <c r="G128" s="40">
        <f t="shared" si="5"/>
        <v>10.334782608695651</v>
      </c>
      <c r="H128" s="40">
        <f t="shared" si="4"/>
        <v>22.739130434782609</v>
      </c>
      <c r="I128" s="40">
        <f t="shared" si="5"/>
        <v>10.334782608695651</v>
      </c>
      <c r="J128" s="40">
        <f>50.8/Fanin_Table[[#This Row],[FaninResistor]]</f>
        <v>1.1624713958810067</v>
      </c>
      <c r="K128" s="40">
        <f>-1.2 + 273/Fanin_Table[[#This Row],[FaninResistor]]</f>
        <v>5.047139588100686</v>
      </c>
      <c r="L128" s="40">
        <f>19.5/(Fanin_Table[[#This Row],[FaninResistor]]*1)</f>
        <v>0.44622425629290613</v>
      </c>
    </row>
    <row r="129" spans="2:12" x14ac:dyDescent="0.25">
      <c r="B129">
        <v>44.2</v>
      </c>
      <c r="C129" s="75">
        <f t="shared" si="3"/>
        <v>0.88235294117647056</v>
      </c>
      <c r="D129" s="40"/>
      <c r="E129" s="40"/>
      <c r="F129" s="40">
        <f t="shared" si="4"/>
        <v>22.49321266968326</v>
      </c>
      <c r="G129" s="40">
        <f t="shared" si="5"/>
        <v>10.222398190045247</v>
      </c>
      <c r="H129" s="40">
        <f t="shared" si="4"/>
        <v>22.49321266968326</v>
      </c>
      <c r="I129" s="40">
        <f t="shared" si="5"/>
        <v>10.222398190045247</v>
      </c>
      <c r="J129" s="40">
        <f>50.8/Fanin_Table[[#This Row],[FaninResistor]]</f>
        <v>1.1493212669683257</v>
      </c>
      <c r="K129" s="40">
        <f>-1.2 + 273/Fanin_Table[[#This Row],[FaninResistor]]</f>
        <v>4.9764705882352933</v>
      </c>
      <c r="L129" s="40">
        <f>19.5/(Fanin_Table[[#This Row],[FaninResistor]]*1)</f>
        <v>0.44117647058823528</v>
      </c>
    </row>
    <row r="130" spans="2:12" x14ac:dyDescent="0.25">
      <c r="B130">
        <v>44.8</v>
      </c>
      <c r="C130" s="75">
        <f t="shared" si="3"/>
        <v>0.8705357142857143</v>
      </c>
      <c r="D130" s="40"/>
      <c r="E130" s="40"/>
      <c r="F130" s="40">
        <f t="shared" si="4"/>
        <v>22.205357142857146</v>
      </c>
      <c r="G130" s="40">
        <f t="shared" si="5"/>
        <v>10.090848214285714</v>
      </c>
      <c r="H130" s="40">
        <f t="shared" si="4"/>
        <v>22.205357142857146</v>
      </c>
      <c r="I130" s="40">
        <f t="shared" si="5"/>
        <v>10.090848214285714</v>
      </c>
      <c r="J130" s="40">
        <f>50.8/Fanin_Table[[#This Row],[FaninResistor]]</f>
        <v>1.1339285714285714</v>
      </c>
      <c r="K130" s="40">
        <f>-1.2 + 273/Fanin_Table[[#This Row],[FaninResistor]]</f>
        <v>4.8937499999999998</v>
      </c>
      <c r="L130" s="40">
        <f>19.5/(Fanin_Table[[#This Row],[FaninResistor]]*1)</f>
        <v>0.43526785714285715</v>
      </c>
    </row>
    <row r="131" spans="2:12" x14ac:dyDescent="0.25">
      <c r="B131">
        <v>45.3</v>
      </c>
      <c r="C131" s="75">
        <f t="shared" si="3"/>
        <v>0.86092715231788086</v>
      </c>
      <c r="D131" s="40"/>
      <c r="E131" s="40"/>
      <c r="F131" s="40">
        <f t="shared" si="4"/>
        <v>21.97130242825607</v>
      </c>
      <c r="G131" s="40">
        <f t="shared" si="5"/>
        <v>9.9838852097130246</v>
      </c>
      <c r="H131" s="40">
        <f t="shared" si="4"/>
        <v>21.97130242825607</v>
      </c>
      <c r="I131" s="40">
        <f t="shared" si="5"/>
        <v>9.9838852097130246</v>
      </c>
      <c r="J131" s="40">
        <f>50.8/Fanin_Table[[#This Row],[FaninResistor]]</f>
        <v>1.1214128035320088</v>
      </c>
      <c r="K131" s="40">
        <f>-1.2 + 273/Fanin_Table[[#This Row],[FaninResistor]]</f>
        <v>4.8264900662251655</v>
      </c>
      <c r="L131" s="40">
        <f>19.5/(Fanin_Table[[#This Row],[FaninResistor]]*1)</f>
        <v>0.43046357615894043</v>
      </c>
    </row>
    <row r="132" spans="2:12" x14ac:dyDescent="0.25">
      <c r="B132">
        <v>45.9</v>
      </c>
      <c r="C132" s="75">
        <f t="shared" si="3"/>
        <v>0.84967320261437906</v>
      </c>
      <c r="D132" s="40"/>
      <c r="E132" s="40"/>
      <c r="F132" s="40">
        <f t="shared" si="4"/>
        <v>21.697167755991288</v>
      </c>
      <c r="G132" s="40">
        <f t="shared" si="5"/>
        <v>9.8586056644880173</v>
      </c>
      <c r="H132" s="40">
        <f t="shared" si="4"/>
        <v>21.697167755991288</v>
      </c>
      <c r="I132" s="40">
        <f t="shared" si="5"/>
        <v>9.8586056644880173</v>
      </c>
      <c r="J132" s="40">
        <f>50.8/Fanin_Table[[#This Row],[FaninResistor]]</f>
        <v>1.1067538126361656</v>
      </c>
      <c r="K132" s="40">
        <f>-1.2 + 273/Fanin_Table[[#This Row],[FaninResistor]]</f>
        <v>4.7477124183006536</v>
      </c>
      <c r="L132" s="40">
        <f>19.5/(Fanin_Table[[#This Row],[FaninResistor]]*1)</f>
        <v>0.42483660130718953</v>
      </c>
    </row>
    <row r="133" spans="2:12" x14ac:dyDescent="0.25">
      <c r="B133">
        <v>46.4</v>
      </c>
      <c r="C133" s="75">
        <f t="shared" ref="C133:C180" si="6">39/B133</f>
        <v>0.84051724137931039</v>
      </c>
      <c r="D133" s="40"/>
      <c r="E133" s="40"/>
      <c r="F133" s="40">
        <f t="shared" ref="F133:H191" si="7">MIN(0.0722,0.001+(950/($B133*1000)))*1000</f>
        <v>21.474137931034484</v>
      </c>
      <c r="G133" s="40">
        <f t="shared" si="5"/>
        <v>9.7566810344827584</v>
      </c>
      <c r="H133" s="40">
        <f t="shared" si="7"/>
        <v>21.474137931034484</v>
      </c>
      <c r="I133" s="40">
        <f t="shared" si="5"/>
        <v>9.7566810344827584</v>
      </c>
      <c r="J133" s="40">
        <f>50.8/Fanin_Table[[#This Row],[FaninResistor]]</f>
        <v>1.0948275862068966</v>
      </c>
      <c r="K133" s="40">
        <f>-1.2 + 273/Fanin_Table[[#This Row],[FaninResistor]]</f>
        <v>4.6836206896551724</v>
      </c>
      <c r="L133" s="40">
        <f>19.5/(Fanin_Table[[#This Row],[FaninResistor]]*1)</f>
        <v>0.42025862068965519</v>
      </c>
    </row>
    <row r="134" spans="2:12" x14ac:dyDescent="0.25">
      <c r="B134">
        <v>47</v>
      </c>
      <c r="C134" s="75">
        <f t="shared" si="6"/>
        <v>0.82978723404255317</v>
      </c>
      <c r="D134" s="40"/>
      <c r="E134" s="40"/>
      <c r="F134" s="40">
        <f t="shared" si="7"/>
        <v>21.212765957446813</v>
      </c>
      <c r="G134" s="40">
        <f t="shared" ref="G134:I191" si="8">0.4+(434.15/$B134)</f>
        <v>9.6372340425531906</v>
      </c>
      <c r="H134" s="40">
        <f t="shared" si="7"/>
        <v>21.212765957446813</v>
      </c>
      <c r="I134" s="40">
        <f t="shared" si="8"/>
        <v>9.6372340425531906</v>
      </c>
      <c r="J134" s="40">
        <f>50.8/Fanin_Table[[#This Row],[FaninResistor]]</f>
        <v>1.0808510638297872</v>
      </c>
      <c r="K134" s="40">
        <f>-1.2 + 273/Fanin_Table[[#This Row],[FaninResistor]]</f>
        <v>4.6085106382978722</v>
      </c>
      <c r="L134" s="40">
        <f>19.5/(Fanin_Table[[#This Row],[FaninResistor]]*1)</f>
        <v>0.41489361702127658</v>
      </c>
    </row>
    <row r="135" spans="2:12" x14ac:dyDescent="0.25">
      <c r="B135">
        <v>47.5</v>
      </c>
      <c r="C135" s="75">
        <f t="shared" si="6"/>
        <v>0.82105263157894737</v>
      </c>
      <c r="D135" s="40"/>
      <c r="E135" s="40"/>
      <c r="F135" s="40">
        <f t="shared" si="7"/>
        <v>21</v>
      </c>
      <c r="G135" s="40">
        <f t="shared" si="8"/>
        <v>9.5399999999999991</v>
      </c>
      <c r="H135" s="40">
        <f t="shared" si="7"/>
        <v>21</v>
      </c>
      <c r="I135" s="40">
        <f t="shared" si="8"/>
        <v>9.5399999999999991</v>
      </c>
      <c r="J135" s="40">
        <f>50.8/Fanin_Table[[#This Row],[FaninResistor]]</f>
        <v>1.0694736842105264</v>
      </c>
      <c r="K135" s="40">
        <f>-1.2 + 273/Fanin_Table[[#This Row],[FaninResistor]]</f>
        <v>4.5473684210526315</v>
      </c>
      <c r="L135" s="40">
        <f>19.5/(Fanin_Table[[#This Row],[FaninResistor]]*1)</f>
        <v>0.41052631578947368</v>
      </c>
    </row>
    <row r="136" spans="2:12" x14ac:dyDescent="0.25">
      <c r="B136">
        <v>48.1</v>
      </c>
      <c r="C136" s="75">
        <f t="shared" si="6"/>
        <v>0.81081081081081074</v>
      </c>
      <c r="D136" s="40"/>
      <c r="E136" s="40"/>
      <c r="F136" s="40">
        <f t="shared" si="7"/>
        <v>20.750519750519754</v>
      </c>
      <c r="G136" s="40">
        <f t="shared" si="8"/>
        <v>9.4259875259875248</v>
      </c>
      <c r="H136" s="40">
        <f t="shared" si="7"/>
        <v>20.750519750519754</v>
      </c>
      <c r="I136" s="40">
        <f t="shared" si="8"/>
        <v>9.4259875259875248</v>
      </c>
      <c r="J136" s="40">
        <f>50.8/Fanin_Table[[#This Row],[FaninResistor]]</f>
        <v>1.056133056133056</v>
      </c>
      <c r="K136" s="40">
        <f>-1.2 + 273/Fanin_Table[[#This Row],[FaninResistor]]</f>
        <v>4.4756756756756753</v>
      </c>
      <c r="L136" s="40">
        <f>19.5/(Fanin_Table[[#This Row],[FaninResistor]]*1)</f>
        <v>0.40540540540540537</v>
      </c>
    </row>
    <row r="137" spans="2:12" x14ac:dyDescent="0.25">
      <c r="B137">
        <v>48.7</v>
      </c>
      <c r="C137" s="75">
        <f t="shared" si="6"/>
        <v>0.80082135523613962</v>
      </c>
      <c r="D137" s="40"/>
      <c r="E137" s="40"/>
      <c r="F137" s="40">
        <f t="shared" si="7"/>
        <v>20.507186858316224</v>
      </c>
      <c r="G137" s="40">
        <f t="shared" si="8"/>
        <v>9.3147843942505126</v>
      </c>
      <c r="H137" s="40">
        <f t="shared" si="7"/>
        <v>20.507186858316224</v>
      </c>
      <c r="I137" s="40">
        <f t="shared" si="8"/>
        <v>9.3147843942505126</v>
      </c>
      <c r="J137" s="40">
        <f>50.8/Fanin_Table[[#This Row],[FaninResistor]]</f>
        <v>1.0431211498973305</v>
      </c>
      <c r="K137" s="40">
        <f>-1.2 + 273/Fanin_Table[[#This Row],[FaninResistor]]</f>
        <v>4.4057494866529767</v>
      </c>
      <c r="L137" s="40">
        <f>19.5/(Fanin_Table[[#This Row],[FaninResistor]]*1)</f>
        <v>0.40041067761806981</v>
      </c>
    </row>
    <row r="138" spans="2:12" x14ac:dyDescent="0.25">
      <c r="B138">
        <v>49.3</v>
      </c>
      <c r="C138" s="75">
        <f t="shared" si="6"/>
        <v>0.79107505070993922</v>
      </c>
      <c r="D138" s="40"/>
      <c r="E138" s="40"/>
      <c r="F138" s="40">
        <f t="shared" si="7"/>
        <v>20.269776876267748</v>
      </c>
      <c r="G138" s="40">
        <f t="shared" si="8"/>
        <v>9.2062880324543617</v>
      </c>
      <c r="H138" s="40">
        <f t="shared" si="7"/>
        <v>20.269776876267748</v>
      </c>
      <c r="I138" s="40">
        <f t="shared" si="8"/>
        <v>9.2062880324543617</v>
      </c>
      <c r="J138" s="40">
        <f>50.8/Fanin_Table[[#This Row],[FaninResistor]]</f>
        <v>1.0304259634888437</v>
      </c>
      <c r="K138" s="40">
        <f>-1.2 + 273/Fanin_Table[[#This Row],[FaninResistor]]</f>
        <v>4.337525354969574</v>
      </c>
      <c r="L138" s="40">
        <f>19.5/(Fanin_Table[[#This Row],[FaninResistor]]*1)</f>
        <v>0.39553752535496961</v>
      </c>
    </row>
    <row r="139" spans="2:12" x14ac:dyDescent="0.25">
      <c r="B139">
        <v>49.9</v>
      </c>
      <c r="C139" s="75">
        <f t="shared" si="6"/>
        <v>0.78156312625250501</v>
      </c>
      <c r="D139" s="40"/>
      <c r="E139" s="40"/>
      <c r="F139" s="40">
        <f t="shared" si="7"/>
        <v>20.038076152304612</v>
      </c>
      <c r="G139" s="40">
        <f t="shared" si="8"/>
        <v>9.1004008016032074</v>
      </c>
      <c r="H139" s="40">
        <f t="shared" si="7"/>
        <v>20.038076152304612</v>
      </c>
      <c r="I139" s="40">
        <f t="shared" si="8"/>
        <v>9.1004008016032074</v>
      </c>
      <c r="J139" s="40">
        <f>50.8/Fanin_Table[[#This Row],[FaninResistor]]</f>
        <v>1.0180360721442885</v>
      </c>
      <c r="K139" s="40">
        <f>-1.2 + 273/Fanin_Table[[#This Row],[FaninResistor]]</f>
        <v>4.2709418837675353</v>
      </c>
      <c r="L139" s="40">
        <f>19.5/(Fanin_Table[[#This Row],[FaninResistor]]*1)</f>
        <v>0.39078156312625251</v>
      </c>
    </row>
    <row r="140" spans="2:12" x14ac:dyDescent="0.25">
      <c r="B140">
        <v>50.5</v>
      </c>
      <c r="C140" s="75">
        <f t="shared" si="6"/>
        <v>0.7722772277227723</v>
      </c>
      <c r="D140" s="40"/>
      <c r="E140" s="40"/>
      <c r="F140" s="40">
        <f t="shared" si="7"/>
        <v>19.811881188118811</v>
      </c>
      <c r="G140" s="40">
        <f t="shared" si="8"/>
        <v>8.9970297029702966</v>
      </c>
      <c r="H140" s="40">
        <f t="shared" si="7"/>
        <v>19.811881188118811</v>
      </c>
      <c r="I140" s="40">
        <f t="shared" si="8"/>
        <v>8.9970297029702966</v>
      </c>
      <c r="J140" s="40">
        <f>50.8/Fanin_Table[[#This Row],[FaninResistor]]</f>
        <v>1.0059405940594059</v>
      </c>
      <c r="K140" s="40">
        <f>-1.2 + 273/Fanin_Table[[#This Row],[FaninResistor]]</f>
        <v>4.2059405940594061</v>
      </c>
      <c r="L140" s="40">
        <f>19.5/(Fanin_Table[[#This Row],[FaninResistor]]*1)</f>
        <v>0.38613861386138615</v>
      </c>
    </row>
    <row r="141" spans="2:12" x14ac:dyDescent="0.25">
      <c r="B141">
        <v>51.1</v>
      </c>
      <c r="C141" s="75">
        <f t="shared" si="6"/>
        <v>0.76320939334637961</v>
      </c>
      <c r="D141" s="40"/>
      <c r="E141" s="40"/>
      <c r="F141" s="40">
        <f t="shared" si="7"/>
        <v>19.590998043052839</v>
      </c>
      <c r="G141" s="40">
        <f t="shared" si="8"/>
        <v>8.8960861056751472</v>
      </c>
      <c r="H141" s="40">
        <f t="shared" si="7"/>
        <v>19.590998043052839</v>
      </c>
      <c r="I141" s="40">
        <f t="shared" si="8"/>
        <v>8.8960861056751472</v>
      </c>
      <c r="J141" s="40">
        <f>50.8/Fanin_Table[[#This Row],[FaninResistor]]</f>
        <v>0.9941291585127201</v>
      </c>
      <c r="K141" s="40">
        <f>-1.2 + 273/Fanin_Table[[#This Row],[FaninResistor]]</f>
        <v>4.1424657534246574</v>
      </c>
      <c r="L141" s="40">
        <f>19.5/(Fanin_Table[[#This Row],[FaninResistor]]*1)</f>
        <v>0.3816046966731898</v>
      </c>
    </row>
    <row r="142" spans="2:12" x14ac:dyDescent="0.25">
      <c r="B142">
        <v>51.7</v>
      </c>
      <c r="C142" s="75">
        <f t="shared" si="6"/>
        <v>0.75435203094777559</v>
      </c>
      <c r="D142" s="40"/>
      <c r="E142" s="40"/>
      <c r="F142" s="40">
        <f t="shared" si="7"/>
        <v>19.375241779497099</v>
      </c>
      <c r="G142" s="40">
        <f t="shared" si="8"/>
        <v>8.7974854932301731</v>
      </c>
      <c r="H142" s="40">
        <f t="shared" si="7"/>
        <v>19.375241779497099</v>
      </c>
      <c r="I142" s="40">
        <f t="shared" si="8"/>
        <v>8.7974854932301731</v>
      </c>
      <c r="J142" s="40">
        <f>50.8/Fanin_Table[[#This Row],[FaninResistor]]</f>
        <v>0.98259187620889743</v>
      </c>
      <c r="K142" s="40">
        <f>-1.2 + 273/Fanin_Table[[#This Row],[FaninResistor]]</f>
        <v>4.0804642166344287</v>
      </c>
      <c r="L142" s="40">
        <f>19.5/(Fanin_Table[[#This Row],[FaninResistor]]*1)</f>
        <v>0.37717601547388779</v>
      </c>
    </row>
    <row r="143" spans="2:12" x14ac:dyDescent="0.25">
      <c r="B143">
        <v>52.3</v>
      </c>
      <c r="C143" s="75">
        <f t="shared" si="6"/>
        <v>0.74569789674952203</v>
      </c>
      <c r="D143" s="40"/>
      <c r="E143" s="40"/>
      <c r="F143" s="40">
        <f t="shared" si="7"/>
        <v>19.164435946462717</v>
      </c>
      <c r="G143" s="40">
        <f t="shared" si="8"/>
        <v>8.7011472275334611</v>
      </c>
      <c r="H143" s="40">
        <f t="shared" si="7"/>
        <v>19.164435946462717</v>
      </c>
      <c r="I143" s="40">
        <f t="shared" si="8"/>
        <v>8.7011472275334611</v>
      </c>
      <c r="J143" s="40">
        <f>50.8/Fanin_Table[[#This Row],[FaninResistor]]</f>
        <v>0.97131931166347996</v>
      </c>
      <c r="K143" s="40">
        <f>-1.2 + 273/Fanin_Table[[#This Row],[FaninResistor]]</f>
        <v>4.0198852772466545</v>
      </c>
      <c r="L143" s="40">
        <f>19.5/(Fanin_Table[[#This Row],[FaninResistor]]*1)</f>
        <v>0.37284894837476101</v>
      </c>
    </row>
    <row r="144" spans="2:12" x14ac:dyDescent="0.25">
      <c r="B144">
        <v>53</v>
      </c>
      <c r="C144" s="75">
        <f t="shared" si="6"/>
        <v>0.73584905660377353</v>
      </c>
      <c r="D144" s="40"/>
      <c r="E144" s="40"/>
      <c r="F144" s="40">
        <f t="shared" si="7"/>
        <v>18.924528301886792</v>
      </c>
      <c r="G144" s="40">
        <f t="shared" si="8"/>
        <v>8.5915094339622637</v>
      </c>
      <c r="H144" s="40">
        <f t="shared" si="7"/>
        <v>18.924528301886792</v>
      </c>
      <c r="I144" s="40">
        <f t="shared" si="8"/>
        <v>8.5915094339622637</v>
      </c>
      <c r="J144" s="40">
        <f>50.8/Fanin_Table[[#This Row],[FaninResistor]]</f>
        <v>0.95849056603773575</v>
      </c>
      <c r="K144" s="40">
        <f>-1.2 + 273/Fanin_Table[[#This Row],[FaninResistor]]</f>
        <v>3.9509433962264149</v>
      </c>
      <c r="L144" s="40">
        <f>19.5/(Fanin_Table[[#This Row],[FaninResistor]]*1)</f>
        <v>0.36792452830188677</v>
      </c>
    </row>
    <row r="145" spans="2:12" x14ac:dyDescent="0.25">
      <c r="B145">
        <v>53.6</v>
      </c>
      <c r="C145" s="75">
        <f t="shared" si="6"/>
        <v>0.7276119402985074</v>
      </c>
      <c r="D145" s="40"/>
      <c r="E145" s="40"/>
      <c r="F145" s="40">
        <f t="shared" si="7"/>
        <v>18.723880597014926</v>
      </c>
      <c r="G145" s="40">
        <f t="shared" si="8"/>
        <v>8.4998134328358201</v>
      </c>
      <c r="H145" s="40">
        <f t="shared" si="7"/>
        <v>18.723880597014926</v>
      </c>
      <c r="I145" s="40">
        <f t="shared" si="8"/>
        <v>8.4998134328358201</v>
      </c>
      <c r="J145" s="40">
        <f>50.8/Fanin_Table[[#This Row],[FaninResistor]]</f>
        <v>0.94776119402985071</v>
      </c>
      <c r="K145" s="40">
        <f>-1.2 + 273/Fanin_Table[[#This Row],[FaninResistor]]</f>
        <v>3.8932835820895519</v>
      </c>
      <c r="L145" s="40">
        <f>19.5/(Fanin_Table[[#This Row],[FaninResistor]]*1)</f>
        <v>0.3638059701492537</v>
      </c>
    </row>
    <row r="146" spans="2:12" x14ac:dyDescent="0.25">
      <c r="B146">
        <v>54.2</v>
      </c>
      <c r="C146" s="75">
        <f t="shared" si="6"/>
        <v>0.71955719557195563</v>
      </c>
      <c r="D146" s="40"/>
      <c r="E146" s="40"/>
      <c r="F146" s="40">
        <f t="shared" si="7"/>
        <v>18.527675276752767</v>
      </c>
      <c r="G146" s="40">
        <f t="shared" si="8"/>
        <v>8.4101476014760141</v>
      </c>
      <c r="H146" s="40">
        <f t="shared" si="7"/>
        <v>18.527675276752767</v>
      </c>
      <c r="I146" s="40">
        <f t="shared" si="8"/>
        <v>8.4101476014760141</v>
      </c>
      <c r="J146" s="40">
        <f>50.8/Fanin_Table[[#This Row],[FaninResistor]]</f>
        <v>0.93726937269372679</v>
      </c>
      <c r="K146" s="40">
        <f>-1.2 + 273/Fanin_Table[[#This Row],[FaninResistor]]</f>
        <v>3.8369003690036898</v>
      </c>
      <c r="L146" s="40">
        <f>19.5/(Fanin_Table[[#This Row],[FaninResistor]]*1)</f>
        <v>0.35977859778597782</v>
      </c>
    </row>
    <row r="147" spans="2:12" x14ac:dyDescent="0.25">
      <c r="B147">
        <v>54.9</v>
      </c>
      <c r="C147" s="75">
        <f t="shared" si="6"/>
        <v>0.7103825136612022</v>
      </c>
      <c r="D147" s="40"/>
      <c r="E147" s="40"/>
      <c r="F147" s="40">
        <f t="shared" si="7"/>
        <v>18.304189435336976</v>
      </c>
      <c r="G147" s="40">
        <f t="shared" si="8"/>
        <v>8.3080145719489984</v>
      </c>
      <c r="H147" s="40">
        <f t="shared" si="7"/>
        <v>18.304189435336976</v>
      </c>
      <c r="I147" s="40">
        <f t="shared" si="8"/>
        <v>8.3080145719489984</v>
      </c>
      <c r="J147" s="40">
        <f>50.8/Fanin_Table[[#This Row],[FaninResistor]]</f>
        <v>0.92531876138433511</v>
      </c>
      <c r="K147" s="40">
        <f>-1.2 + 273/Fanin_Table[[#This Row],[FaninResistor]]</f>
        <v>3.7726775956284149</v>
      </c>
      <c r="L147" s="40">
        <f>19.5/(Fanin_Table[[#This Row],[FaninResistor]]*1)</f>
        <v>0.3551912568306011</v>
      </c>
    </row>
    <row r="148" spans="2:12" x14ac:dyDescent="0.25">
      <c r="B148">
        <v>55.6</v>
      </c>
      <c r="C148" s="75">
        <f t="shared" si="6"/>
        <v>0.70143884892086328</v>
      </c>
      <c r="D148" s="40"/>
      <c r="E148" s="40"/>
      <c r="F148" s="40">
        <f t="shared" si="7"/>
        <v>18.086330935251802</v>
      </c>
      <c r="G148" s="40">
        <f t="shared" si="8"/>
        <v>8.2084532374100707</v>
      </c>
      <c r="H148" s="40">
        <f t="shared" si="7"/>
        <v>18.086330935251802</v>
      </c>
      <c r="I148" s="40">
        <f t="shared" si="8"/>
        <v>8.2084532374100707</v>
      </c>
      <c r="J148" s="40">
        <f>50.8/Fanin_Table[[#This Row],[FaninResistor]]</f>
        <v>0.91366906474820131</v>
      </c>
      <c r="K148" s="40">
        <f>-1.2 + 273/Fanin_Table[[#This Row],[FaninResistor]]</f>
        <v>3.7100719424460431</v>
      </c>
      <c r="L148" s="40">
        <f>19.5/(Fanin_Table[[#This Row],[FaninResistor]]*1)</f>
        <v>0.35071942446043164</v>
      </c>
    </row>
    <row r="149" spans="2:12" x14ac:dyDescent="0.25">
      <c r="B149">
        <v>56.2</v>
      </c>
      <c r="C149" s="75">
        <f t="shared" si="6"/>
        <v>0.69395017793594305</v>
      </c>
      <c r="D149" s="40"/>
      <c r="E149" s="40"/>
      <c r="F149" s="40">
        <f t="shared" si="7"/>
        <v>17.903914590747334</v>
      </c>
      <c r="G149" s="40">
        <f t="shared" si="8"/>
        <v>8.1250889679715286</v>
      </c>
      <c r="H149" s="40">
        <f t="shared" si="7"/>
        <v>17.903914590747334</v>
      </c>
      <c r="I149" s="40">
        <f t="shared" si="8"/>
        <v>8.1250889679715286</v>
      </c>
      <c r="J149" s="40">
        <f>50.8/Fanin_Table[[#This Row],[FaninResistor]]</f>
        <v>0.90391459074733083</v>
      </c>
      <c r="K149" s="40">
        <f>-1.2 + 273/Fanin_Table[[#This Row],[FaninResistor]]</f>
        <v>3.6576512455516008</v>
      </c>
      <c r="L149" s="40">
        <f>19.5/(Fanin_Table[[#This Row],[FaninResistor]]*1)</f>
        <v>0.34697508896797152</v>
      </c>
    </row>
    <row r="150" spans="2:12" x14ac:dyDescent="0.25">
      <c r="B150">
        <v>56.9</v>
      </c>
      <c r="C150" s="75">
        <f t="shared" si="6"/>
        <v>0.68541300527240778</v>
      </c>
      <c r="D150" s="40"/>
      <c r="E150" s="40"/>
      <c r="F150" s="40">
        <f t="shared" si="7"/>
        <v>17.69595782073814</v>
      </c>
      <c r="G150" s="40">
        <f t="shared" si="8"/>
        <v>8.0300527240773292</v>
      </c>
      <c r="H150" s="40">
        <f t="shared" si="7"/>
        <v>17.69595782073814</v>
      </c>
      <c r="I150" s="40">
        <f t="shared" si="8"/>
        <v>8.0300527240773292</v>
      </c>
      <c r="J150" s="40">
        <f>50.8/Fanin_Table[[#This Row],[FaninResistor]]</f>
        <v>0.89279437609841827</v>
      </c>
      <c r="K150" s="40">
        <f>-1.2 + 273/Fanin_Table[[#This Row],[FaninResistor]]</f>
        <v>3.5978910369068542</v>
      </c>
      <c r="L150" s="40">
        <f>19.5/(Fanin_Table[[#This Row],[FaninResistor]]*1)</f>
        <v>0.34270650263620389</v>
      </c>
    </row>
    <row r="151" spans="2:12" x14ac:dyDescent="0.25">
      <c r="B151">
        <v>57.6</v>
      </c>
      <c r="C151" s="75">
        <f t="shared" si="6"/>
        <v>0.67708333333333337</v>
      </c>
      <c r="D151" s="40"/>
      <c r="E151" s="40"/>
      <c r="F151" s="40">
        <f t="shared" si="7"/>
        <v>17.493055555555557</v>
      </c>
      <c r="G151" s="40">
        <f t="shared" si="8"/>
        <v>7.9373263888888888</v>
      </c>
      <c r="H151" s="40">
        <f t="shared" si="7"/>
        <v>17.493055555555557</v>
      </c>
      <c r="I151" s="40">
        <f t="shared" si="8"/>
        <v>7.9373263888888888</v>
      </c>
      <c r="J151" s="40">
        <f>50.8/Fanin_Table[[#This Row],[FaninResistor]]</f>
        <v>0.88194444444444442</v>
      </c>
      <c r="K151" s="40">
        <f>-1.2 + 273/Fanin_Table[[#This Row],[FaninResistor]]</f>
        <v>3.5395833333333329</v>
      </c>
      <c r="L151" s="40">
        <f>19.5/(Fanin_Table[[#This Row],[FaninResistor]]*1)</f>
        <v>0.33854166666666669</v>
      </c>
    </row>
    <row r="152" spans="2:12" x14ac:dyDescent="0.25">
      <c r="B152">
        <v>58.3</v>
      </c>
      <c r="C152" s="75">
        <f t="shared" si="6"/>
        <v>0.66895368782161235</v>
      </c>
      <c r="D152" s="40"/>
      <c r="E152" s="40"/>
      <c r="F152" s="40">
        <f t="shared" si="7"/>
        <v>17.295025728987994</v>
      </c>
      <c r="G152" s="40">
        <f t="shared" si="8"/>
        <v>7.8468267581475128</v>
      </c>
      <c r="H152" s="40">
        <f t="shared" si="7"/>
        <v>17.295025728987994</v>
      </c>
      <c r="I152" s="40">
        <f t="shared" si="8"/>
        <v>7.8468267581475128</v>
      </c>
      <c r="J152" s="40">
        <f>50.8/Fanin_Table[[#This Row],[FaninResistor]]</f>
        <v>0.8713550600343053</v>
      </c>
      <c r="K152" s="40">
        <f>-1.2 + 273/Fanin_Table[[#This Row],[FaninResistor]]</f>
        <v>3.4826758147512864</v>
      </c>
      <c r="L152" s="40">
        <f>19.5/(Fanin_Table[[#This Row],[FaninResistor]]*1)</f>
        <v>0.33447684391080618</v>
      </c>
    </row>
    <row r="153" spans="2:12" x14ac:dyDescent="0.25">
      <c r="B153">
        <v>59</v>
      </c>
      <c r="C153" s="75">
        <f t="shared" si="6"/>
        <v>0.66101694915254239</v>
      </c>
      <c r="D153" s="40"/>
      <c r="E153" s="40"/>
      <c r="F153" s="40">
        <f t="shared" si="7"/>
        <v>17.101694915254239</v>
      </c>
      <c r="G153" s="40">
        <f t="shared" si="8"/>
        <v>7.758474576271186</v>
      </c>
      <c r="H153" s="40">
        <f t="shared" si="7"/>
        <v>17.101694915254239</v>
      </c>
      <c r="I153" s="40">
        <f t="shared" si="8"/>
        <v>7.758474576271186</v>
      </c>
      <c r="J153" s="40">
        <f>50.8/Fanin_Table[[#This Row],[FaninResistor]]</f>
        <v>0.86101694915254234</v>
      </c>
      <c r="K153" s="40">
        <f>-1.2 + 273/Fanin_Table[[#This Row],[FaninResistor]]</f>
        <v>3.4271186440677965</v>
      </c>
      <c r="L153" s="40">
        <f>19.5/(Fanin_Table[[#This Row],[FaninResistor]]*1)</f>
        <v>0.33050847457627119</v>
      </c>
    </row>
    <row r="154" spans="2:12" x14ac:dyDescent="0.25">
      <c r="B154">
        <v>59.7</v>
      </c>
      <c r="C154" s="75">
        <f t="shared" si="6"/>
        <v>0.6532663316582914</v>
      </c>
      <c r="D154" s="40"/>
      <c r="E154" s="40"/>
      <c r="F154" s="40">
        <f t="shared" si="7"/>
        <v>16.912897822445562</v>
      </c>
      <c r="G154" s="40">
        <f t="shared" si="8"/>
        <v>7.6721943048576211</v>
      </c>
      <c r="H154" s="40">
        <f t="shared" si="7"/>
        <v>16.912897822445562</v>
      </c>
      <c r="I154" s="40">
        <f t="shared" si="8"/>
        <v>7.6721943048576211</v>
      </c>
      <c r="J154" s="40">
        <f>50.8/Fanin_Table[[#This Row],[FaninResistor]]</f>
        <v>0.85092127303182574</v>
      </c>
      <c r="K154" s="40">
        <f>-1.2 + 273/Fanin_Table[[#This Row],[FaninResistor]]</f>
        <v>3.3728643216080396</v>
      </c>
      <c r="L154" s="40">
        <f>19.5/(Fanin_Table[[#This Row],[FaninResistor]]*1)</f>
        <v>0.3266331658291457</v>
      </c>
    </row>
    <row r="155" spans="2:12" x14ac:dyDescent="0.25">
      <c r="B155">
        <v>60.4</v>
      </c>
      <c r="C155" s="75">
        <f t="shared" si="6"/>
        <v>0.64569536423841056</v>
      </c>
      <c r="D155" s="40"/>
      <c r="E155" s="40"/>
      <c r="F155" s="40">
        <f t="shared" si="7"/>
        <v>16.728476821192054</v>
      </c>
      <c r="G155" s="40">
        <f t="shared" si="8"/>
        <v>7.5879139072847686</v>
      </c>
      <c r="H155" s="40">
        <f t="shared" si="7"/>
        <v>16.728476821192054</v>
      </c>
      <c r="I155" s="40">
        <f t="shared" si="8"/>
        <v>7.5879139072847686</v>
      </c>
      <c r="J155" s="40">
        <f>50.8/Fanin_Table[[#This Row],[FaninResistor]]</f>
        <v>0.84105960264900659</v>
      </c>
      <c r="K155" s="40">
        <f>-1.2 + 273/Fanin_Table[[#This Row],[FaninResistor]]</f>
        <v>3.3198675496688743</v>
      </c>
      <c r="L155" s="40">
        <f>19.5/(Fanin_Table[[#This Row],[FaninResistor]]*1)</f>
        <v>0.32284768211920528</v>
      </c>
    </row>
    <row r="156" spans="2:12" x14ac:dyDescent="0.25">
      <c r="B156">
        <v>61.2</v>
      </c>
      <c r="C156" s="75">
        <f t="shared" si="6"/>
        <v>0.63725490196078427</v>
      </c>
      <c r="D156" s="40"/>
      <c r="E156" s="40"/>
      <c r="F156" s="40">
        <f t="shared" si="7"/>
        <v>16.522875816993466</v>
      </c>
      <c r="G156" s="40">
        <f t="shared" si="8"/>
        <v>7.4939542483660126</v>
      </c>
      <c r="H156" s="40">
        <f t="shared" si="7"/>
        <v>16.522875816993466</v>
      </c>
      <c r="I156" s="40">
        <f t="shared" si="8"/>
        <v>7.4939542483660126</v>
      </c>
      <c r="J156" s="40">
        <f>50.8/Fanin_Table[[#This Row],[FaninResistor]]</f>
        <v>0.83006535947712412</v>
      </c>
      <c r="K156" s="40">
        <f>-1.2 + 273/Fanin_Table[[#This Row],[FaninResistor]]</f>
        <v>3.2607843137254902</v>
      </c>
      <c r="L156" s="40">
        <f>19.5/(Fanin_Table[[#This Row],[FaninResistor]]*1)</f>
        <v>0.31862745098039214</v>
      </c>
    </row>
    <row r="157" spans="2:12" x14ac:dyDescent="0.25">
      <c r="B157">
        <v>61.9</v>
      </c>
      <c r="C157" s="75">
        <f t="shared" si="6"/>
        <v>0.630048465266559</v>
      </c>
      <c r="D157" s="40"/>
      <c r="E157" s="40"/>
      <c r="F157" s="40">
        <f t="shared" si="7"/>
        <v>16.347334410339258</v>
      </c>
      <c r="G157" s="40">
        <f t="shared" si="8"/>
        <v>7.4137318255250406</v>
      </c>
      <c r="H157" s="40">
        <f t="shared" si="7"/>
        <v>16.347334410339258</v>
      </c>
      <c r="I157" s="40">
        <f t="shared" si="8"/>
        <v>7.4137318255250406</v>
      </c>
      <c r="J157" s="40">
        <f>50.8/Fanin_Table[[#This Row],[FaninResistor]]</f>
        <v>0.82067851373182554</v>
      </c>
      <c r="K157" s="40">
        <f>-1.2 + 273/Fanin_Table[[#This Row],[FaninResistor]]</f>
        <v>3.2103392568659128</v>
      </c>
      <c r="L157" s="40">
        <f>19.5/(Fanin_Table[[#This Row],[FaninResistor]]*1)</f>
        <v>0.3150242326332795</v>
      </c>
    </row>
    <row r="158" spans="2:12" x14ac:dyDescent="0.25">
      <c r="B158">
        <v>62.6</v>
      </c>
      <c r="C158" s="75">
        <f t="shared" si="6"/>
        <v>0.6230031948881789</v>
      </c>
      <c r="D158" s="40"/>
      <c r="E158" s="40"/>
      <c r="F158" s="40">
        <f t="shared" si="7"/>
        <v>16.175718849840255</v>
      </c>
      <c r="G158" s="40">
        <f t="shared" si="8"/>
        <v>7.3353035143769967</v>
      </c>
      <c r="H158" s="40">
        <f t="shared" si="7"/>
        <v>16.175718849840255</v>
      </c>
      <c r="I158" s="40">
        <f t="shared" si="8"/>
        <v>7.3353035143769967</v>
      </c>
      <c r="J158" s="40">
        <f>50.8/Fanin_Table[[#This Row],[FaninResistor]]</f>
        <v>0.81150159744408934</v>
      </c>
      <c r="K158" s="40">
        <f>-1.2 + 273/Fanin_Table[[#This Row],[FaninResistor]]</f>
        <v>3.1610223642172519</v>
      </c>
      <c r="L158" s="40">
        <f>19.5/(Fanin_Table[[#This Row],[FaninResistor]]*1)</f>
        <v>0.31150159744408945</v>
      </c>
    </row>
    <row r="159" spans="2:12" x14ac:dyDescent="0.25">
      <c r="B159">
        <v>63.4</v>
      </c>
      <c r="C159" s="75">
        <f t="shared" si="6"/>
        <v>0.61514195583596221</v>
      </c>
      <c r="D159" s="40"/>
      <c r="E159" s="40"/>
      <c r="F159" s="40">
        <f t="shared" si="7"/>
        <v>15.98422712933754</v>
      </c>
      <c r="G159" s="40">
        <f t="shared" si="8"/>
        <v>7.2477917981072553</v>
      </c>
      <c r="H159" s="40">
        <f t="shared" si="7"/>
        <v>15.98422712933754</v>
      </c>
      <c r="I159" s="40">
        <f t="shared" si="8"/>
        <v>7.2477917981072553</v>
      </c>
      <c r="J159" s="40">
        <f>50.8/Fanin_Table[[#This Row],[FaninResistor]]</f>
        <v>0.80126182965299686</v>
      </c>
      <c r="K159" s="40">
        <f>-1.2 + 273/Fanin_Table[[#This Row],[FaninResistor]]</f>
        <v>3.1059936908517347</v>
      </c>
      <c r="L159" s="40">
        <f>19.5/(Fanin_Table[[#This Row],[FaninResistor]]*1)</f>
        <v>0.3075709779179811</v>
      </c>
    </row>
    <row r="160" spans="2:12" x14ac:dyDescent="0.25">
      <c r="B160">
        <v>64.2</v>
      </c>
      <c r="C160" s="75">
        <f t="shared" si="6"/>
        <v>0.60747663551401865</v>
      </c>
      <c r="D160" s="40"/>
      <c r="E160" s="40"/>
      <c r="F160" s="40">
        <f t="shared" si="7"/>
        <v>15.797507788161992</v>
      </c>
      <c r="G160" s="40">
        <f t="shared" si="8"/>
        <v>7.1624610591900311</v>
      </c>
      <c r="H160" s="40">
        <f t="shared" si="7"/>
        <v>15.797507788161992</v>
      </c>
      <c r="I160" s="40">
        <f t="shared" si="8"/>
        <v>7.1624610591900311</v>
      </c>
      <c r="J160" s="40">
        <f>50.8/Fanin_Table[[#This Row],[FaninResistor]]</f>
        <v>0.79127725856697806</v>
      </c>
      <c r="K160" s="40">
        <f>-1.2 + 273/Fanin_Table[[#This Row],[FaninResistor]]</f>
        <v>3.0523364485981306</v>
      </c>
      <c r="L160" s="40">
        <f>19.5/(Fanin_Table[[#This Row],[FaninResistor]]*1)</f>
        <v>0.30373831775700932</v>
      </c>
    </row>
    <row r="161" spans="2:12" x14ac:dyDescent="0.25">
      <c r="B161">
        <v>64.900000000000006</v>
      </c>
      <c r="C161" s="75">
        <f t="shared" si="6"/>
        <v>0.60092449922958391</v>
      </c>
      <c r="D161" s="40"/>
      <c r="E161" s="40"/>
      <c r="F161" s="40">
        <f t="shared" si="7"/>
        <v>15.637904468412941</v>
      </c>
      <c r="G161" s="40">
        <f t="shared" si="8"/>
        <v>7.089522342064714</v>
      </c>
      <c r="H161" s="40">
        <f t="shared" si="7"/>
        <v>15.637904468412941</v>
      </c>
      <c r="I161" s="40">
        <f t="shared" si="8"/>
        <v>7.089522342064714</v>
      </c>
      <c r="J161" s="40">
        <f>50.8/Fanin_Table[[#This Row],[FaninResistor]]</f>
        <v>0.78274268104776568</v>
      </c>
      <c r="K161" s="40">
        <f>-1.2 + 273/Fanin_Table[[#This Row],[FaninResistor]]</f>
        <v>3.0064714946070872</v>
      </c>
      <c r="L161" s="40">
        <f>19.5/(Fanin_Table[[#This Row],[FaninResistor]]*1)</f>
        <v>0.30046224961479195</v>
      </c>
    </row>
    <row r="162" spans="2:12" x14ac:dyDescent="0.25">
      <c r="B162">
        <v>65.7</v>
      </c>
      <c r="C162" s="75">
        <f t="shared" si="6"/>
        <v>0.59360730593607303</v>
      </c>
      <c r="D162" s="40"/>
      <c r="E162" s="40"/>
      <c r="F162" s="40">
        <f t="shared" si="7"/>
        <v>15.459665144596652</v>
      </c>
      <c r="G162" s="40">
        <f t="shared" si="8"/>
        <v>7.0080669710806696</v>
      </c>
      <c r="H162" s="40">
        <f t="shared" si="7"/>
        <v>15.459665144596652</v>
      </c>
      <c r="I162" s="40">
        <f t="shared" si="8"/>
        <v>7.0080669710806696</v>
      </c>
      <c r="J162" s="40">
        <f>50.8/Fanin_Table[[#This Row],[FaninResistor]]</f>
        <v>0.77321156773211563</v>
      </c>
      <c r="K162" s="40">
        <f>-1.2 + 273/Fanin_Table[[#This Row],[FaninResistor]]</f>
        <v>2.9552511415525107</v>
      </c>
      <c r="L162" s="40">
        <f>19.5/(Fanin_Table[[#This Row],[FaninResistor]]*1)</f>
        <v>0.29680365296803651</v>
      </c>
    </row>
    <row r="163" spans="2:12" x14ac:dyDescent="0.25">
      <c r="B163">
        <v>66.5</v>
      </c>
      <c r="C163" s="75">
        <f t="shared" si="6"/>
        <v>0.5864661654135338</v>
      </c>
      <c r="D163" s="40"/>
      <c r="E163" s="40"/>
      <c r="F163" s="40">
        <f t="shared" si="7"/>
        <v>15.285714285714285</v>
      </c>
      <c r="G163" s="40">
        <f t="shared" si="8"/>
        <v>6.9285714285714288</v>
      </c>
      <c r="H163" s="40">
        <f t="shared" si="7"/>
        <v>15.285714285714285</v>
      </c>
      <c r="I163" s="40">
        <f t="shared" si="8"/>
        <v>6.9285714285714288</v>
      </c>
      <c r="J163" s="40">
        <f>50.8/Fanin_Table[[#This Row],[FaninResistor]]</f>
        <v>0.76390977443609021</v>
      </c>
      <c r="K163" s="40">
        <f>-1.2 + 273/Fanin_Table[[#This Row],[FaninResistor]]</f>
        <v>2.905263157894737</v>
      </c>
      <c r="L163" s="40">
        <f>19.5/(Fanin_Table[[#This Row],[FaninResistor]]*1)</f>
        <v>0.2932330827067669</v>
      </c>
    </row>
    <row r="164" spans="2:12" x14ac:dyDescent="0.25">
      <c r="B164">
        <v>67.3</v>
      </c>
      <c r="C164" s="75">
        <f t="shared" si="6"/>
        <v>0.57949479940564641</v>
      </c>
      <c r="D164" s="40"/>
      <c r="E164" s="40"/>
      <c r="F164" s="40">
        <f t="shared" si="7"/>
        <v>15.115898959881129</v>
      </c>
      <c r="G164" s="40">
        <f t="shared" si="8"/>
        <v>6.8509658246656766</v>
      </c>
      <c r="H164" s="40">
        <f t="shared" si="7"/>
        <v>15.115898959881129</v>
      </c>
      <c r="I164" s="40">
        <f t="shared" si="8"/>
        <v>6.8509658246656766</v>
      </c>
      <c r="J164" s="40">
        <f>50.8/Fanin_Table[[#This Row],[FaninResistor]]</f>
        <v>0.75482912332838037</v>
      </c>
      <c r="K164" s="40">
        <f>-1.2 + 273/Fanin_Table[[#This Row],[FaninResistor]]</f>
        <v>2.8564635958395241</v>
      </c>
      <c r="L164" s="40">
        <f>19.5/(Fanin_Table[[#This Row],[FaninResistor]]*1)</f>
        <v>0.28974739970282321</v>
      </c>
    </row>
    <row r="165" spans="2:12" x14ac:dyDescent="0.25">
      <c r="B165">
        <v>68.099999999999994</v>
      </c>
      <c r="C165" s="75">
        <f t="shared" si="6"/>
        <v>0.57268722466960353</v>
      </c>
      <c r="D165" s="40"/>
      <c r="E165" s="40"/>
      <c r="F165" s="40">
        <f t="shared" si="7"/>
        <v>14.950073421439061</v>
      </c>
      <c r="G165" s="40">
        <f t="shared" si="8"/>
        <v>6.7751835535976515</v>
      </c>
      <c r="H165" s="40">
        <f t="shared" si="7"/>
        <v>14.950073421439061</v>
      </c>
      <c r="I165" s="40">
        <f t="shared" si="8"/>
        <v>6.7751835535976515</v>
      </c>
      <c r="J165" s="40">
        <f>50.8/Fanin_Table[[#This Row],[FaninResistor]]</f>
        <v>0.74596182085168872</v>
      </c>
      <c r="K165" s="40">
        <f>-1.2 + 273/Fanin_Table[[#This Row],[FaninResistor]]</f>
        <v>2.808810572687225</v>
      </c>
      <c r="L165" s="40">
        <f>19.5/(Fanin_Table[[#This Row],[FaninResistor]]*1)</f>
        <v>0.28634361233480177</v>
      </c>
    </row>
    <row r="166" spans="2:12" x14ac:dyDescent="0.25">
      <c r="B166">
        <v>69</v>
      </c>
      <c r="C166" s="75">
        <f t="shared" si="6"/>
        <v>0.56521739130434778</v>
      </c>
      <c r="D166" s="40"/>
      <c r="E166" s="40"/>
      <c r="F166" s="40">
        <f t="shared" si="7"/>
        <v>14.768115942028984</v>
      </c>
      <c r="G166" s="40">
        <f t="shared" si="8"/>
        <v>6.6920289855072461</v>
      </c>
      <c r="H166" s="40">
        <f t="shared" si="7"/>
        <v>14.768115942028984</v>
      </c>
      <c r="I166" s="40">
        <f t="shared" si="8"/>
        <v>6.6920289855072461</v>
      </c>
      <c r="J166" s="40">
        <f>50.8/Fanin_Table[[#This Row],[FaninResistor]]</f>
        <v>0.73623188405797102</v>
      </c>
      <c r="K166" s="40">
        <f>-1.2 + 273/Fanin_Table[[#This Row],[FaninResistor]]</f>
        <v>2.7565217391304344</v>
      </c>
      <c r="L166" s="40">
        <f>19.5/(Fanin_Table[[#This Row],[FaninResistor]]*1)</f>
        <v>0.28260869565217389</v>
      </c>
    </row>
    <row r="167" spans="2:12" x14ac:dyDescent="0.25">
      <c r="B167">
        <v>69.8</v>
      </c>
      <c r="C167" s="75">
        <f t="shared" si="6"/>
        <v>0.55873925501432664</v>
      </c>
      <c r="D167" s="40"/>
      <c r="E167" s="40"/>
      <c r="F167" s="40">
        <f t="shared" si="7"/>
        <v>14.610315186246419</v>
      </c>
      <c r="G167" s="40">
        <f t="shared" si="8"/>
        <v>6.6199140401146135</v>
      </c>
      <c r="H167" s="40">
        <f t="shared" si="7"/>
        <v>14.610315186246419</v>
      </c>
      <c r="I167" s="40">
        <f t="shared" si="8"/>
        <v>6.6199140401146135</v>
      </c>
      <c r="J167" s="40">
        <f>50.8/Fanin_Table[[#This Row],[FaninResistor]]</f>
        <v>0.72779369627507162</v>
      </c>
      <c r="K167" s="40">
        <f>-1.2 + 273/Fanin_Table[[#This Row],[FaninResistor]]</f>
        <v>2.7111747851002868</v>
      </c>
      <c r="L167" s="40">
        <f>19.5/(Fanin_Table[[#This Row],[FaninResistor]]*1)</f>
        <v>0.27936962750716332</v>
      </c>
    </row>
    <row r="168" spans="2:12" x14ac:dyDescent="0.25">
      <c r="B168">
        <v>70.599999999999994</v>
      </c>
      <c r="C168" s="75">
        <f t="shared" si="6"/>
        <v>0.55240793201133154</v>
      </c>
      <c r="D168" s="40"/>
      <c r="E168" s="40"/>
      <c r="F168" s="40">
        <f t="shared" si="7"/>
        <v>14.456090651558073</v>
      </c>
      <c r="G168" s="40">
        <f t="shared" si="8"/>
        <v>6.5494334277620405</v>
      </c>
      <c r="H168" s="40">
        <f t="shared" si="7"/>
        <v>14.456090651558073</v>
      </c>
      <c r="I168" s="40">
        <f t="shared" si="8"/>
        <v>6.5494334277620405</v>
      </c>
      <c r="J168" s="40">
        <f>50.8/Fanin_Table[[#This Row],[FaninResistor]]</f>
        <v>0.71954674220963177</v>
      </c>
      <c r="K168" s="40">
        <f>-1.2 + 273/Fanin_Table[[#This Row],[FaninResistor]]</f>
        <v>2.6668555240793204</v>
      </c>
      <c r="L168" s="40">
        <f>19.5/(Fanin_Table[[#This Row],[FaninResistor]]*1)</f>
        <v>0.27620396600566577</v>
      </c>
    </row>
    <row r="169" spans="2:12" x14ac:dyDescent="0.25">
      <c r="B169">
        <v>71.5</v>
      </c>
      <c r="C169" s="75">
        <f t="shared" si="6"/>
        <v>0.54545454545454541</v>
      </c>
      <c r="D169" s="40"/>
      <c r="E169" s="40"/>
      <c r="F169" s="40">
        <f t="shared" si="7"/>
        <v>14.286713286713288</v>
      </c>
      <c r="G169" s="40">
        <f t="shared" si="8"/>
        <v>6.4720279720279716</v>
      </c>
      <c r="H169" s="40">
        <f t="shared" si="7"/>
        <v>14.286713286713288</v>
      </c>
      <c r="I169" s="40">
        <f t="shared" si="8"/>
        <v>6.4720279720279716</v>
      </c>
      <c r="J169" s="40">
        <f>50.8/Fanin_Table[[#This Row],[FaninResistor]]</f>
        <v>0.71048951048951048</v>
      </c>
      <c r="K169" s="40">
        <f>-1.2 + 273/Fanin_Table[[#This Row],[FaninResistor]]</f>
        <v>2.6181818181818182</v>
      </c>
      <c r="L169" s="40">
        <f>19.5/(Fanin_Table[[#This Row],[FaninResistor]]*1)</f>
        <v>0.27272727272727271</v>
      </c>
    </row>
    <row r="170" spans="2:12" x14ac:dyDescent="0.25">
      <c r="B170">
        <v>72.3</v>
      </c>
      <c r="C170" s="75">
        <f t="shared" si="6"/>
        <v>0.53941908713692943</v>
      </c>
      <c r="D170" s="40"/>
      <c r="E170" s="40"/>
      <c r="F170" s="40">
        <f t="shared" si="7"/>
        <v>14.13969571230982</v>
      </c>
      <c r="G170" s="40">
        <f t="shared" si="8"/>
        <v>6.4048409405255882</v>
      </c>
      <c r="H170" s="40">
        <f t="shared" si="7"/>
        <v>14.13969571230982</v>
      </c>
      <c r="I170" s="40">
        <f t="shared" si="8"/>
        <v>6.4048409405255882</v>
      </c>
      <c r="J170" s="40">
        <f>50.8/Fanin_Table[[#This Row],[FaninResistor]]</f>
        <v>0.70262793914246191</v>
      </c>
      <c r="K170" s="40">
        <f>-1.2 + 273/Fanin_Table[[#This Row],[FaninResistor]]</f>
        <v>2.5759336099585068</v>
      </c>
      <c r="L170" s="40">
        <f>19.5/(Fanin_Table[[#This Row],[FaninResistor]]*1)</f>
        <v>0.26970954356846472</v>
      </c>
    </row>
    <row r="171" spans="2:12" x14ac:dyDescent="0.25">
      <c r="B171">
        <v>73.2</v>
      </c>
      <c r="C171" s="75">
        <f t="shared" si="6"/>
        <v>0.53278688524590156</v>
      </c>
      <c r="D171" s="40"/>
      <c r="E171" s="40"/>
      <c r="F171" s="40">
        <f t="shared" si="7"/>
        <v>13.978142076502733</v>
      </c>
      <c r="G171" s="40">
        <f t="shared" si="8"/>
        <v>6.3310109289617484</v>
      </c>
      <c r="H171" s="40">
        <f t="shared" si="7"/>
        <v>13.978142076502733</v>
      </c>
      <c r="I171" s="40">
        <f t="shared" si="8"/>
        <v>6.3310109289617484</v>
      </c>
      <c r="J171" s="40">
        <f>50.8/Fanin_Table[[#This Row],[FaninResistor]]</f>
        <v>0.69398907103825125</v>
      </c>
      <c r="K171" s="40">
        <f>-1.2 + 273/Fanin_Table[[#This Row],[FaninResistor]]</f>
        <v>2.5295081967213111</v>
      </c>
      <c r="L171" s="40">
        <f>19.5/(Fanin_Table[[#This Row],[FaninResistor]]*1)</f>
        <v>0.26639344262295078</v>
      </c>
    </row>
    <row r="172" spans="2:12" x14ac:dyDescent="0.25">
      <c r="B172">
        <v>74.099999999999994</v>
      </c>
      <c r="C172" s="75">
        <f t="shared" si="6"/>
        <v>0.52631578947368429</v>
      </c>
      <c r="D172" s="40"/>
      <c r="E172" s="40"/>
      <c r="F172" s="40">
        <f t="shared" si="7"/>
        <v>13.820512820512821</v>
      </c>
      <c r="G172" s="40">
        <f t="shared" si="8"/>
        <v>6.2589743589743598</v>
      </c>
      <c r="H172" s="40">
        <f t="shared" si="7"/>
        <v>13.820512820512821</v>
      </c>
      <c r="I172" s="40">
        <f t="shared" si="8"/>
        <v>6.2589743589743598</v>
      </c>
      <c r="J172" s="40">
        <f>50.8/Fanin_Table[[#This Row],[FaninResistor]]</f>
        <v>0.68556005398110664</v>
      </c>
      <c r="K172" s="40">
        <f>-1.2 + 273/Fanin_Table[[#This Row],[FaninResistor]]</f>
        <v>2.4842105263157901</v>
      </c>
      <c r="L172" s="40">
        <f>19.5/(Fanin_Table[[#This Row],[FaninResistor]]*1)</f>
        <v>0.26315789473684215</v>
      </c>
    </row>
    <row r="173" spans="2:12" x14ac:dyDescent="0.25">
      <c r="B173">
        <v>75</v>
      </c>
      <c r="C173" s="75">
        <f t="shared" si="6"/>
        <v>0.52</v>
      </c>
      <c r="D173" s="40"/>
      <c r="E173" s="40"/>
      <c r="F173" s="40">
        <f t="shared" si="7"/>
        <v>13.666666666666668</v>
      </c>
      <c r="G173" s="40">
        <f t="shared" si="8"/>
        <v>6.1886666666666663</v>
      </c>
      <c r="H173" s="40">
        <f t="shared" si="7"/>
        <v>13.666666666666668</v>
      </c>
      <c r="I173" s="40">
        <f t="shared" si="8"/>
        <v>6.1886666666666663</v>
      </c>
      <c r="J173" s="40">
        <f>50.8/Fanin_Table[[#This Row],[FaninResistor]]</f>
        <v>0.67733333333333334</v>
      </c>
      <c r="K173" s="40">
        <f>-1.2 + 273/Fanin_Table[[#This Row],[FaninResistor]]</f>
        <v>2.4400000000000004</v>
      </c>
      <c r="L173" s="40">
        <f>19.5/(Fanin_Table[[#This Row],[FaninResistor]]*1)</f>
        <v>0.26</v>
      </c>
    </row>
    <row r="174" spans="2:12" x14ac:dyDescent="0.25">
      <c r="B174">
        <v>75.900000000000006</v>
      </c>
      <c r="C174" s="75">
        <f t="shared" si="6"/>
        <v>0.51383399209486158</v>
      </c>
      <c r="D174" s="40"/>
      <c r="E174" s="40"/>
      <c r="F174" s="40">
        <f t="shared" si="7"/>
        <v>13.51646903820817</v>
      </c>
      <c r="G174" s="40">
        <f t="shared" si="8"/>
        <v>6.1200263504611323</v>
      </c>
      <c r="H174" s="40">
        <f t="shared" si="7"/>
        <v>13.51646903820817</v>
      </c>
      <c r="I174" s="40">
        <f t="shared" si="8"/>
        <v>6.1200263504611323</v>
      </c>
      <c r="J174" s="40">
        <f>50.8/Fanin_Table[[#This Row],[FaninResistor]]</f>
        <v>0.66930171277997352</v>
      </c>
      <c r="K174" s="40">
        <f>-1.2 + 273/Fanin_Table[[#This Row],[FaninResistor]]</f>
        <v>2.3968379446640311</v>
      </c>
      <c r="L174" s="40">
        <f>19.5/(Fanin_Table[[#This Row],[FaninResistor]]*1)</f>
        <v>0.25691699604743079</v>
      </c>
    </row>
    <row r="175" spans="2:12" x14ac:dyDescent="0.25">
      <c r="B175">
        <v>76.8</v>
      </c>
      <c r="C175" s="75">
        <f t="shared" si="6"/>
        <v>0.5078125</v>
      </c>
      <c r="D175" s="40"/>
      <c r="E175" s="40"/>
      <c r="F175" s="40">
        <f t="shared" si="7"/>
        <v>13.369791666666666</v>
      </c>
      <c r="G175" s="40">
        <f t="shared" si="8"/>
        <v>6.0529947916666673</v>
      </c>
      <c r="H175" s="40">
        <f t="shared" si="7"/>
        <v>13.369791666666666</v>
      </c>
      <c r="I175" s="40">
        <f t="shared" si="8"/>
        <v>6.0529947916666673</v>
      </c>
      <c r="J175" s="40">
        <f>50.8/Fanin_Table[[#This Row],[FaninResistor]]</f>
        <v>0.66145833333333337</v>
      </c>
      <c r="K175" s="40">
        <f>-1.2 + 273/Fanin_Table[[#This Row],[FaninResistor]]</f>
        <v>2.3546874999999998</v>
      </c>
      <c r="L175" s="40">
        <f>19.5/(Fanin_Table[[#This Row],[FaninResistor]]*1)</f>
        <v>0.25390625</v>
      </c>
    </row>
    <row r="176" spans="2:12" x14ac:dyDescent="0.25">
      <c r="B176">
        <v>77.7</v>
      </c>
      <c r="C176" s="75">
        <f t="shared" si="6"/>
        <v>0.50193050193050193</v>
      </c>
      <c r="D176" s="40"/>
      <c r="E176" s="40"/>
      <c r="F176" s="40">
        <f t="shared" si="7"/>
        <v>13.226512226512225</v>
      </c>
      <c r="G176" s="40">
        <f t="shared" si="8"/>
        <v>5.9875160875160871</v>
      </c>
      <c r="H176" s="40">
        <f t="shared" si="7"/>
        <v>13.226512226512225</v>
      </c>
      <c r="I176" s="40">
        <f t="shared" si="8"/>
        <v>5.9875160875160871</v>
      </c>
      <c r="J176" s="40">
        <f>50.8/Fanin_Table[[#This Row],[FaninResistor]]</f>
        <v>0.65379665379665375</v>
      </c>
      <c r="K176" s="40">
        <f>-1.2 + 273/Fanin_Table[[#This Row],[FaninResistor]]</f>
        <v>2.3135135135135139</v>
      </c>
      <c r="L176" s="40">
        <f>19.5/(Fanin_Table[[#This Row],[FaninResistor]]*1)</f>
        <v>0.25096525096525096</v>
      </c>
    </row>
    <row r="177" spans="2:12" x14ac:dyDescent="0.25">
      <c r="B177">
        <v>78.7</v>
      </c>
      <c r="C177" s="75">
        <f t="shared" si="6"/>
        <v>0.49555273189326554</v>
      </c>
      <c r="D177" s="40"/>
      <c r="E177" s="40"/>
      <c r="F177" s="40">
        <f t="shared" si="7"/>
        <v>13.071156289707751</v>
      </c>
      <c r="G177" s="40">
        <f t="shared" si="8"/>
        <v>5.9165184243964424</v>
      </c>
      <c r="H177" s="40">
        <f t="shared" si="7"/>
        <v>13.071156289707751</v>
      </c>
      <c r="I177" s="40">
        <f t="shared" si="8"/>
        <v>5.9165184243964424</v>
      </c>
      <c r="J177" s="40">
        <f>50.8/Fanin_Table[[#This Row],[FaninResistor]]</f>
        <v>0.64548919949174077</v>
      </c>
      <c r="K177" s="40">
        <f>-1.2 + 273/Fanin_Table[[#This Row],[FaninResistor]]</f>
        <v>2.2688691232528591</v>
      </c>
      <c r="L177" s="40">
        <f>19.5/(Fanin_Table[[#This Row],[FaninResistor]]*1)</f>
        <v>0.24777636594663277</v>
      </c>
    </row>
    <row r="178" spans="2:12" x14ac:dyDescent="0.25">
      <c r="B178">
        <v>79.599999999999994</v>
      </c>
      <c r="C178" s="75">
        <f t="shared" si="6"/>
        <v>0.4899497487437186</v>
      </c>
      <c r="D178" s="40"/>
      <c r="E178" s="40"/>
      <c r="F178" s="40">
        <f t="shared" si="7"/>
        <v>12.934673366834172</v>
      </c>
      <c r="G178" s="40">
        <f t="shared" si="8"/>
        <v>5.8541457286432168</v>
      </c>
      <c r="H178" s="40">
        <f t="shared" si="7"/>
        <v>12.934673366834172</v>
      </c>
      <c r="I178" s="40">
        <f t="shared" si="8"/>
        <v>5.8541457286432168</v>
      </c>
      <c r="J178" s="40">
        <f>50.8/Fanin_Table[[#This Row],[FaninResistor]]</f>
        <v>0.63819095477386933</v>
      </c>
      <c r="K178" s="40">
        <f>-1.2 + 273/Fanin_Table[[#This Row],[FaninResistor]]</f>
        <v>2.2296482412060303</v>
      </c>
      <c r="L178" s="40">
        <f>19.5/(Fanin_Table[[#This Row],[FaninResistor]]*1)</f>
        <v>0.2449748743718593</v>
      </c>
    </row>
    <row r="179" spans="2:12" x14ac:dyDescent="0.25">
      <c r="B179">
        <v>80.599999999999994</v>
      </c>
      <c r="C179" s="75">
        <f t="shared" si="6"/>
        <v>0.4838709677419355</v>
      </c>
      <c r="D179" s="40"/>
      <c r="E179" s="40"/>
      <c r="F179" s="40">
        <f t="shared" si="7"/>
        <v>12.786600496277917</v>
      </c>
      <c r="G179" s="40">
        <f t="shared" si="8"/>
        <v>5.7864764267990081</v>
      </c>
      <c r="H179" s="40">
        <f t="shared" si="7"/>
        <v>12.786600496277917</v>
      </c>
      <c r="I179" s="40">
        <f t="shared" si="8"/>
        <v>5.7864764267990081</v>
      </c>
      <c r="J179" s="40">
        <f>50.8/Fanin_Table[[#This Row],[FaninResistor]]</f>
        <v>0.63027295285359808</v>
      </c>
      <c r="K179" s="40">
        <f>-1.2 + 273/Fanin_Table[[#This Row],[FaninResistor]]</f>
        <v>2.1870967741935488</v>
      </c>
      <c r="L179" s="40">
        <f>19.5/(Fanin_Table[[#This Row],[FaninResistor]]*1)</f>
        <v>0.24193548387096775</v>
      </c>
    </row>
    <row r="180" spans="2:12" x14ac:dyDescent="0.25">
      <c r="B180">
        <v>81.599999999999994</v>
      </c>
      <c r="C180" s="75">
        <f t="shared" si="6"/>
        <v>0.47794117647058826</v>
      </c>
      <c r="D180" s="40"/>
      <c r="E180" s="40"/>
      <c r="F180" s="40">
        <f t="shared" si="7"/>
        <v>12.642156862745098</v>
      </c>
      <c r="G180" s="40">
        <f t="shared" si="8"/>
        <v>5.72046568627451</v>
      </c>
      <c r="H180" s="40">
        <f t="shared" si="7"/>
        <v>12.642156862745098</v>
      </c>
      <c r="I180" s="40">
        <f t="shared" si="8"/>
        <v>5.72046568627451</v>
      </c>
      <c r="J180" s="40">
        <f>50.8/Fanin_Table[[#This Row],[FaninResistor]]</f>
        <v>0.62254901960784315</v>
      </c>
      <c r="K180" s="40">
        <f>-1.2 + 273/Fanin_Table[[#This Row],[FaninResistor]]</f>
        <v>2.1455882352941176</v>
      </c>
      <c r="L180" s="40">
        <f>19.5/(Fanin_Table[[#This Row],[FaninResistor]]*1)</f>
        <v>0.23897058823529413</v>
      </c>
    </row>
    <row r="181" spans="2:12" x14ac:dyDescent="0.25">
      <c r="B181">
        <v>82.5</v>
      </c>
      <c r="C181" s="75">
        <f>39/B181</f>
        <v>0.47272727272727272</v>
      </c>
      <c r="D181" s="40"/>
      <c r="E181" s="40"/>
      <c r="F181" s="40">
        <f t="shared" si="7"/>
        <v>12.515151515151514</v>
      </c>
      <c r="G181" s="40">
        <f t="shared" si="8"/>
        <v>5.6624242424242421</v>
      </c>
      <c r="H181" s="40">
        <f t="shared" si="7"/>
        <v>12.515151515151514</v>
      </c>
      <c r="I181" s="40">
        <f t="shared" si="8"/>
        <v>5.6624242424242421</v>
      </c>
      <c r="J181" s="40">
        <f>50.8/Fanin_Table[[#This Row],[FaninResistor]]</f>
        <v>0.61575757575757573</v>
      </c>
      <c r="K181" s="40">
        <f>-1.2 + 273/Fanin_Table[[#This Row],[FaninResistor]]</f>
        <v>2.1090909090909093</v>
      </c>
      <c r="L181" s="40">
        <f>19.5/(Fanin_Table[[#This Row],[FaninResistor]]*1)</f>
        <v>0.23636363636363636</v>
      </c>
    </row>
    <row r="182" spans="2:12" x14ac:dyDescent="0.25">
      <c r="B182">
        <v>83.5</v>
      </c>
      <c r="C182" s="75">
        <f>39/B182</f>
        <v>0.46706586826347307</v>
      </c>
      <c r="D182" s="40"/>
      <c r="E182" s="40"/>
      <c r="F182" s="40">
        <f t="shared" si="7"/>
        <v>12.377245508982035</v>
      </c>
      <c r="G182" s="40">
        <f t="shared" si="8"/>
        <v>5.5994011976047906</v>
      </c>
      <c r="H182" s="40">
        <f t="shared" si="7"/>
        <v>12.377245508982035</v>
      </c>
      <c r="I182" s="40">
        <f t="shared" si="8"/>
        <v>5.5994011976047906</v>
      </c>
      <c r="J182" s="40">
        <f>50.8/Fanin_Table[[#This Row],[FaninResistor]]</f>
        <v>0.60838323353293411</v>
      </c>
      <c r="K182" s="40">
        <f>-1.2 + 273/Fanin_Table[[#This Row],[FaninResistor]]</f>
        <v>2.069461077844311</v>
      </c>
      <c r="L182" s="40">
        <f>19.5/(Fanin_Table[[#This Row],[FaninResistor]]*1)</f>
        <v>0.23353293413173654</v>
      </c>
    </row>
    <row r="183" spans="2:12" x14ac:dyDescent="0.25">
      <c r="B183">
        <v>84.5</v>
      </c>
      <c r="C183" s="75">
        <f t="shared" ref="C183:C191" si="9">39/B183</f>
        <v>0.46153846153846156</v>
      </c>
      <c r="D183" s="40"/>
      <c r="E183" s="40"/>
      <c r="F183" s="40">
        <f t="shared" si="7"/>
        <v>12.242603550295859</v>
      </c>
      <c r="G183" s="40">
        <f t="shared" si="8"/>
        <v>5.5378698224852068</v>
      </c>
      <c r="H183" s="40">
        <f t="shared" si="7"/>
        <v>12.242603550295859</v>
      </c>
      <c r="I183" s="40">
        <f t="shared" si="8"/>
        <v>5.5378698224852068</v>
      </c>
      <c r="J183" s="40">
        <f>50.8/Fanin_Table[[#This Row],[FaninResistor]]</f>
        <v>0.60118343195266266</v>
      </c>
      <c r="K183" s="40">
        <f>-1.2 + 273/Fanin_Table[[#This Row],[FaninResistor]]</f>
        <v>2.0307692307692307</v>
      </c>
      <c r="L183" s="40">
        <f>19.5/(Fanin_Table[[#This Row],[FaninResistor]]*1)</f>
        <v>0.23076923076923078</v>
      </c>
    </row>
    <row r="184" spans="2:12" x14ac:dyDescent="0.25">
      <c r="B184">
        <v>85.6</v>
      </c>
      <c r="C184" s="75">
        <f t="shared" si="9"/>
        <v>0.45560747663551404</v>
      </c>
      <c r="D184" s="40"/>
      <c r="E184" s="40"/>
      <c r="F184" s="40">
        <f t="shared" si="7"/>
        <v>12.098130841121494</v>
      </c>
      <c r="G184" s="40">
        <f t="shared" si="8"/>
        <v>5.4718457943925234</v>
      </c>
      <c r="H184" s="40">
        <f t="shared" si="7"/>
        <v>12.098130841121494</v>
      </c>
      <c r="I184" s="40">
        <f t="shared" si="8"/>
        <v>5.4718457943925234</v>
      </c>
      <c r="J184" s="40">
        <f>50.8/Fanin_Table[[#This Row],[FaninResistor]]</f>
        <v>0.59345794392523366</v>
      </c>
      <c r="K184" s="40">
        <f>-1.2 + 273/Fanin_Table[[#This Row],[FaninResistor]]</f>
        <v>1.9892523364485986</v>
      </c>
      <c r="L184" s="40">
        <f>19.5/(Fanin_Table[[#This Row],[FaninResistor]]*1)</f>
        <v>0.22780373831775702</v>
      </c>
    </row>
    <row r="185" spans="2:12" x14ac:dyDescent="0.25">
      <c r="B185">
        <v>86.6</v>
      </c>
      <c r="C185" s="75">
        <f t="shared" si="9"/>
        <v>0.45034642032332567</v>
      </c>
      <c r="D185" s="40"/>
      <c r="E185" s="40"/>
      <c r="F185" s="40">
        <f t="shared" si="7"/>
        <v>11.969976905311777</v>
      </c>
      <c r="G185" s="40">
        <f t="shared" si="8"/>
        <v>5.4132794457274835</v>
      </c>
      <c r="H185" s="40">
        <f t="shared" si="7"/>
        <v>11.969976905311777</v>
      </c>
      <c r="I185" s="40">
        <f t="shared" si="8"/>
        <v>5.4132794457274835</v>
      </c>
      <c r="J185" s="40">
        <f>50.8/Fanin_Table[[#This Row],[FaninResistor]]</f>
        <v>0.58660508083140883</v>
      </c>
      <c r="K185" s="40">
        <f>-1.2 + 273/Fanin_Table[[#This Row],[FaninResistor]]</f>
        <v>1.9524249422632798</v>
      </c>
      <c r="L185" s="40">
        <f>19.5/(Fanin_Table[[#This Row],[FaninResistor]]*1)</f>
        <v>0.22517321016166283</v>
      </c>
    </row>
    <row r="186" spans="2:12" x14ac:dyDescent="0.25">
      <c r="B186">
        <v>87.6</v>
      </c>
      <c r="C186" s="75">
        <f t="shared" si="9"/>
        <v>0.4452054794520548</v>
      </c>
      <c r="D186" s="40"/>
      <c r="E186" s="40"/>
      <c r="F186" s="40">
        <f t="shared" si="7"/>
        <v>11.844748858447488</v>
      </c>
      <c r="G186" s="40">
        <f t="shared" si="8"/>
        <v>5.3560502283105027</v>
      </c>
      <c r="H186" s="40">
        <f t="shared" si="7"/>
        <v>11.844748858447488</v>
      </c>
      <c r="I186" s="40">
        <f t="shared" si="8"/>
        <v>5.3560502283105027</v>
      </c>
      <c r="J186" s="40">
        <f>50.8/Fanin_Table[[#This Row],[FaninResistor]]</f>
        <v>0.57990867579908678</v>
      </c>
      <c r="K186" s="40">
        <f>-1.2 + 273/Fanin_Table[[#This Row],[FaninResistor]]</f>
        <v>1.9164383561643838</v>
      </c>
      <c r="L186" s="40">
        <f>19.5/(Fanin_Table[[#This Row],[FaninResistor]]*1)</f>
        <v>0.2226027397260274</v>
      </c>
    </row>
    <row r="187" spans="2:12" x14ac:dyDescent="0.25">
      <c r="B187">
        <v>88.7</v>
      </c>
      <c r="C187" s="75">
        <f t="shared" si="9"/>
        <v>0.43968432919954903</v>
      </c>
      <c r="D187" s="40"/>
      <c r="E187" s="40"/>
      <c r="F187" s="40">
        <f t="shared" si="7"/>
        <v>11.710259301014656</v>
      </c>
      <c r="G187" s="40">
        <f t="shared" si="8"/>
        <v>5.2945885005636981</v>
      </c>
      <c r="H187" s="40">
        <f t="shared" si="7"/>
        <v>11.710259301014656</v>
      </c>
      <c r="I187" s="40">
        <f t="shared" si="8"/>
        <v>5.2945885005636981</v>
      </c>
      <c r="J187" s="40">
        <f>50.8/Fanin_Table[[#This Row],[FaninResistor]]</f>
        <v>0.57271702367530997</v>
      </c>
      <c r="K187" s="40">
        <f>-1.2 + 273/Fanin_Table[[#This Row],[FaninResistor]]</f>
        <v>1.8777903043968431</v>
      </c>
      <c r="L187" s="40">
        <f>19.5/(Fanin_Table[[#This Row],[FaninResistor]]*1)</f>
        <v>0.21984216459977451</v>
      </c>
    </row>
    <row r="188" spans="2:12" x14ac:dyDescent="0.25">
      <c r="B188">
        <v>89.8</v>
      </c>
      <c r="C188" s="75">
        <f t="shared" si="9"/>
        <v>0.43429844097995546</v>
      </c>
      <c r="D188" s="40"/>
      <c r="E188" s="40"/>
      <c r="F188" s="40">
        <f t="shared" si="7"/>
        <v>11.579064587973274</v>
      </c>
      <c r="G188" s="40">
        <f t="shared" si="8"/>
        <v>5.2346325167037868</v>
      </c>
      <c r="H188" s="40">
        <f t="shared" si="7"/>
        <v>11.579064587973274</v>
      </c>
      <c r="I188" s="40">
        <f t="shared" si="8"/>
        <v>5.2346325167037868</v>
      </c>
      <c r="J188" s="40">
        <f>50.8/Fanin_Table[[#This Row],[FaninResistor]]</f>
        <v>0.56570155902004449</v>
      </c>
      <c r="K188" s="40">
        <f>-1.2 + 273/Fanin_Table[[#This Row],[FaninResistor]]</f>
        <v>1.8400890868596884</v>
      </c>
      <c r="L188" s="40">
        <f>19.5/(Fanin_Table[[#This Row],[FaninResistor]]*1)</f>
        <v>0.21714922048997773</v>
      </c>
    </row>
    <row r="189" spans="2:12" x14ac:dyDescent="0.25">
      <c r="B189">
        <v>90.9</v>
      </c>
      <c r="C189" s="75">
        <f t="shared" si="9"/>
        <v>0.42904290429042902</v>
      </c>
      <c r="D189" s="40"/>
      <c r="E189" s="40"/>
      <c r="F189" s="40">
        <f t="shared" si="7"/>
        <v>11.451045104510452</v>
      </c>
      <c r="G189" s="40">
        <f t="shared" si="8"/>
        <v>5.1761276127612756</v>
      </c>
      <c r="H189" s="40">
        <f t="shared" si="7"/>
        <v>11.451045104510452</v>
      </c>
      <c r="I189" s="40">
        <f t="shared" si="8"/>
        <v>5.1761276127612756</v>
      </c>
      <c r="J189" s="40">
        <f>50.8/Fanin_Table[[#This Row],[FaninResistor]]</f>
        <v>0.55885588558855881</v>
      </c>
      <c r="K189" s="40">
        <f>-1.2 + 273/Fanin_Table[[#This Row],[FaninResistor]]</f>
        <v>1.8033003300330031</v>
      </c>
      <c r="L189" s="40">
        <f>19.5/(Fanin_Table[[#This Row],[FaninResistor]]*1)</f>
        <v>0.21452145214521451</v>
      </c>
    </row>
    <row r="190" spans="2:12" x14ac:dyDescent="0.25">
      <c r="B190">
        <v>92</v>
      </c>
      <c r="C190" s="75">
        <f t="shared" si="9"/>
        <v>0.42391304347826086</v>
      </c>
      <c r="D190" s="40"/>
      <c r="E190" s="40"/>
      <c r="F190" s="40">
        <f t="shared" si="7"/>
        <v>11.32608695652174</v>
      </c>
      <c r="G190" s="40">
        <f t="shared" si="8"/>
        <v>5.1190217391304351</v>
      </c>
      <c r="H190" s="40">
        <f t="shared" si="7"/>
        <v>11.32608695652174</v>
      </c>
      <c r="I190" s="40">
        <f t="shared" si="8"/>
        <v>5.1190217391304351</v>
      </c>
      <c r="J190" s="40">
        <f>50.8/Fanin_Table[[#This Row],[FaninResistor]]</f>
        <v>0.55217391304347818</v>
      </c>
      <c r="K190" s="40">
        <f>-1.2 + 273/Fanin_Table[[#This Row],[FaninResistor]]</f>
        <v>1.7673913043478262</v>
      </c>
      <c r="L190" s="40">
        <f>19.5/(Fanin_Table[[#This Row],[FaninResistor]]*1)</f>
        <v>0.21195652173913043</v>
      </c>
    </row>
    <row r="191" spans="2:12" x14ac:dyDescent="0.25">
      <c r="B191">
        <v>93.1</v>
      </c>
      <c r="C191" s="75">
        <f t="shared" si="9"/>
        <v>0.41890440386680988</v>
      </c>
      <c r="D191" s="40"/>
      <c r="E191" s="40"/>
      <c r="F191" s="40">
        <f t="shared" si="7"/>
        <v>11.204081632653059</v>
      </c>
      <c r="G191" s="40">
        <f t="shared" si="8"/>
        <v>5.0632653061224495</v>
      </c>
      <c r="H191" s="40">
        <f t="shared" si="7"/>
        <v>11.204081632653059</v>
      </c>
      <c r="I191" s="40">
        <f t="shared" si="8"/>
        <v>5.0632653061224495</v>
      </c>
      <c r="J191" s="40">
        <f>50.8/Fanin_Table[[#This Row],[FaninResistor]]</f>
        <v>0.54564983888292162</v>
      </c>
      <c r="K191" s="40">
        <f>-1.2 + 273/Fanin_Table[[#This Row],[FaninResistor]]</f>
        <v>1.7323308270676694</v>
      </c>
      <c r="L191" s="40">
        <f>19.5/(Fanin_Table[[#This Row],[FaninResistor]]*1)</f>
        <v>0.20945220193340494</v>
      </c>
    </row>
  </sheetData>
  <mergeCells count="4">
    <mergeCell ref="J1:K1"/>
    <mergeCell ref="D1:E1"/>
    <mergeCell ref="F1:G1"/>
    <mergeCell ref="H1:I1"/>
  </mergeCells>
  <pageMargins left="0.7" right="0.7" top="0.75" bottom="0.75" header="0.3" footer="0.3"/>
  <pageSetup paperSize="9" orientation="portrait" r:id="rId1"/>
  <tableParts count="2">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P101"/>
  <sheetViews>
    <sheetView zoomScale="120" zoomScaleNormal="120" workbookViewId="0">
      <selection activeCell="E67" sqref="E67"/>
    </sheetView>
  </sheetViews>
  <sheetFormatPr defaultRowHeight="13.2" x14ac:dyDescent="0.25"/>
  <cols>
    <col min="1" max="1" width="47.5546875" customWidth="1"/>
    <col min="2" max="2" width="14.44140625" style="2" customWidth="1"/>
    <col min="3" max="3" width="15.5546875" style="2" customWidth="1"/>
    <col min="4" max="4" width="19.6640625" style="2" customWidth="1"/>
    <col min="5" max="5" width="21.88671875" style="2" bestFit="1" customWidth="1"/>
    <col min="6" max="6" width="9.109375" style="2"/>
    <col min="8" max="8" width="12.44140625" bestFit="1" customWidth="1"/>
    <col min="9" max="9" width="11.88671875" bestFit="1" customWidth="1"/>
  </cols>
  <sheetData>
    <row r="1" spans="1:6" s="1" customFormat="1" x14ac:dyDescent="0.25">
      <c r="A1" s="3" t="s">
        <v>16</v>
      </c>
      <c r="B1" s="4" t="s">
        <v>130</v>
      </c>
      <c r="C1" s="4" t="s">
        <v>131</v>
      </c>
      <c r="D1" s="4" t="s">
        <v>135</v>
      </c>
      <c r="E1" s="4" t="s">
        <v>134</v>
      </c>
      <c r="F1" s="4" t="s">
        <v>2</v>
      </c>
    </row>
    <row r="2" spans="1:6" x14ac:dyDescent="0.25">
      <c r="A2" s="5" t="s">
        <v>7</v>
      </c>
      <c r="B2" s="17">
        <f>Basic!C13</f>
        <v>20</v>
      </c>
      <c r="C2" s="32">
        <f t="shared" ref="C2:C8" si="0">B2</f>
        <v>20</v>
      </c>
      <c r="D2" s="32">
        <f t="shared" ref="D2:D8" si="1">C2</f>
        <v>20</v>
      </c>
      <c r="E2" s="32">
        <f t="shared" ref="E2:E8" si="2">D2</f>
        <v>20</v>
      </c>
      <c r="F2" s="7" t="s">
        <v>0</v>
      </c>
    </row>
    <row r="3" spans="1:6" x14ac:dyDescent="0.25">
      <c r="A3" s="5" t="s">
        <v>17</v>
      </c>
      <c r="B3" s="17">
        <f>Basic!C17</f>
        <v>40</v>
      </c>
      <c r="C3" s="32">
        <f t="shared" si="0"/>
        <v>40</v>
      </c>
      <c r="D3" s="32">
        <f t="shared" si="1"/>
        <v>40</v>
      </c>
      <c r="E3" s="32">
        <f t="shared" si="2"/>
        <v>40</v>
      </c>
      <c r="F3" s="7" t="s">
        <v>1</v>
      </c>
    </row>
    <row r="4" spans="1:6" x14ac:dyDescent="0.25">
      <c r="A4" s="19" t="s">
        <v>38</v>
      </c>
      <c r="B4" s="17">
        <f>IF(B15,Basic!C24,0)</f>
        <v>0</v>
      </c>
      <c r="C4" s="32">
        <f t="shared" si="0"/>
        <v>0</v>
      </c>
      <c r="D4" s="32">
        <f t="shared" si="1"/>
        <v>0</v>
      </c>
      <c r="E4" s="32">
        <f t="shared" si="2"/>
        <v>0</v>
      </c>
      <c r="F4" s="20" t="s">
        <v>1</v>
      </c>
    </row>
    <row r="5" spans="1:6" x14ac:dyDescent="0.25">
      <c r="A5" s="9" t="s">
        <v>30</v>
      </c>
      <c r="B5" s="72">
        <f>Basic!C14</f>
        <v>0</v>
      </c>
      <c r="C5" s="32">
        <f t="shared" si="0"/>
        <v>0</v>
      </c>
      <c r="D5" s="32">
        <f t="shared" si="1"/>
        <v>0</v>
      </c>
      <c r="E5" s="32">
        <f t="shared" si="2"/>
        <v>0</v>
      </c>
      <c r="F5" s="8" t="s">
        <v>4</v>
      </c>
    </row>
    <row r="6" spans="1:6" x14ac:dyDescent="0.25">
      <c r="A6" s="9" t="s">
        <v>31</v>
      </c>
      <c r="B6" s="72">
        <f>Basic!C15</f>
        <v>0</v>
      </c>
      <c r="C6" s="32">
        <f t="shared" si="0"/>
        <v>0</v>
      </c>
      <c r="D6" s="32">
        <f t="shared" si="1"/>
        <v>0</v>
      </c>
      <c r="E6" s="32">
        <f t="shared" si="2"/>
        <v>0</v>
      </c>
      <c r="F6" s="8" t="s">
        <v>4</v>
      </c>
    </row>
    <row r="7" spans="1:6" x14ac:dyDescent="0.25">
      <c r="A7" s="5" t="s">
        <v>13</v>
      </c>
      <c r="B7" s="17">
        <f>Basic!C20</f>
        <v>2.65</v>
      </c>
      <c r="C7" s="32">
        <f t="shared" si="0"/>
        <v>2.65</v>
      </c>
      <c r="D7" s="32">
        <f t="shared" si="1"/>
        <v>2.65</v>
      </c>
      <c r="E7" s="32">
        <f t="shared" si="2"/>
        <v>2.65</v>
      </c>
      <c r="F7" s="7" t="s">
        <v>14</v>
      </c>
    </row>
    <row r="8" spans="1:6" x14ac:dyDescent="0.25">
      <c r="A8" s="5" t="s">
        <v>105</v>
      </c>
      <c r="B8" s="72">
        <f>Basic!C19</f>
        <v>100</v>
      </c>
      <c r="C8" s="32">
        <f t="shared" si="0"/>
        <v>100</v>
      </c>
      <c r="D8" s="32">
        <f t="shared" si="1"/>
        <v>100</v>
      </c>
      <c r="E8" s="32">
        <f t="shared" si="2"/>
        <v>100</v>
      </c>
      <c r="F8" s="7" t="s">
        <v>106</v>
      </c>
    </row>
    <row r="9" spans="1:6" x14ac:dyDescent="0.25">
      <c r="A9" s="11"/>
      <c r="B9" s="12"/>
      <c r="C9" s="12"/>
      <c r="D9" s="13"/>
      <c r="E9" s="13"/>
      <c r="F9" s="13"/>
    </row>
    <row r="10" spans="1:6" x14ac:dyDescent="0.25">
      <c r="A10" s="29" t="s">
        <v>88</v>
      </c>
      <c r="B10" s="7"/>
      <c r="C10" s="7"/>
      <c r="D10" s="6"/>
      <c r="E10" s="6"/>
      <c r="F10" s="6"/>
    </row>
    <row r="11" spans="1:6" x14ac:dyDescent="0.25">
      <c r="A11" s="9" t="s">
        <v>8</v>
      </c>
      <c r="B11" s="32">
        <f>VLOOKUP(Basic!C16,FaninTable,2,FALSE)</f>
        <v>1.029023746701847</v>
      </c>
      <c r="C11" s="32">
        <f t="shared" ref="C11:C16" si="3">B11</f>
        <v>1.029023746701847</v>
      </c>
      <c r="D11" s="32">
        <f>C11</f>
        <v>1.029023746701847</v>
      </c>
      <c r="E11" s="32">
        <f>D11</f>
        <v>1.029023746701847</v>
      </c>
      <c r="F11" s="7"/>
    </row>
    <row r="12" spans="1:6" x14ac:dyDescent="0.25">
      <c r="A12" s="19" t="s">
        <v>126</v>
      </c>
      <c r="B12" s="32">
        <v>1</v>
      </c>
      <c r="C12" s="32">
        <f t="shared" si="3"/>
        <v>1</v>
      </c>
      <c r="D12" s="32">
        <f>C12</f>
        <v>1</v>
      </c>
      <c r="E12" s="32">
        <f>B12</f>
        <v>1</v>
      </c>
      <c r="F12" s="7"/>
    </row>
    <row r="13" spans="1:6" x14ac:dyDescent="0.25">
      <c r="A13" s="19" t="s">
        <v>90</v>
      </c>
      <c r="B13" s="32">
        <f>IF(Basic!C31="Yes",1,0)</f>
        <v>0</v>
      </c>
      <c r="C13" s="32">
        <f t="shared" si="3"/>
        <v>0</v>
      </c>
      <c r="D13" s="32">
        <f>C13</f>
        <v>0</v>
      </c>
      <c r="E13" s="32">
        <f t="shared" ref="E13:E16" si="4">D13</f>
        <v>0</v>
      </c>
      <c r="F13" s="7"/>
    </row>
    <row r="14" spans="1:6" x14ac:dyDescent="0.25">
      <c r="A14" s="28" t="s">
        <v>91</v>
      </c>
      <c r="B14" s="32">
        <f>IF(Basic!C28="Yes",1,0)</f>
        <v>0</v>
      </c>
      <c r="C14" s="32">
        <f>B14</f>
        <v>0</v>
      </c>
      <c r="D14" s="32">
        <f>C14</f>
        <v>0</v>
      </c>
      <c r="E14" s="32">
        <f t="shared" si="4"/>
        <v>0</v>
      </c>
      <c r="F14" s="7"/>
    </row>
    <row r="15" spans="1:6" x14ac:dyDescent="0.25">
      <c r="A15" s="28" t="s">
        <v>92</v>
      </c>
      <c r="B15" s="32">
        <f>IF(Basic!C21="Yes",1,0)</f>
        <v>0</v>
      </c>
      <c r="C15" s="32">
        <f t="shared" si="3"/>
        <v>0</v>
      </c>
      <c r="D15" s="32">
        <f>C15</f>
        <v>0</v>
      </c>
      <c r="E15" s="32">
        <f t="shared" si="4"/>
        <v>0</v>
      </c>
      <c r="F15" s="7"/>
    </row>
    <row r="16" spans="1:6" x14ac:dyDescent="0.25">
      <c r="A16" s="28" t="s">
        <v>89</v>
      </c>
      <c r="B16" s="32">
        <f>IF(B15,Basic!C22,0)</f>
        <v>0</v>
      </c>
      <c r="C16" s="32">
        <f t="shared" si="3"/>
        <v>0</v>
      </c>
      <c r="D16" s="32">
        <f>C16</f>
        <v>0</v>
      </c>
      <c r="E16" s="32">
        <f t="shared" si="4"/>
        <v>0</v>
      </c>
      <c r="F16" s="20" t="s">
        <v>0</v>
      </c>
    </row>
    <row r="17" spans="1:6" x14ac:dyDescent="0.25">
      <c r="A17" s="11"/>
      <c r="B17" s="12"/>
      <c r="C17" s="12"/>
      <c r="D17" s="13"/>
      <c r="E17" s="13"/>
      <c r="F17" s="13"/>
    </row>
    <row r="18" spans="1:6" x14ac:dyDescent="0.25">
      <c r="A18" s="3" t="s">
        <v>18</v>
      </c>
      <c r="B18" s="4" t="s">
        <v>130</v>
      </c>
      <c r="C18" s="4" t="s">
        <v>131</v>
      </c>
      <c r="D18" s="4" t="s">
        <v>135</v>
      </c>
      <c r="E18" s="4" t="s">
        <v>134</v>
      </c>
      <c r="F18" s="4" t="s">
        <v>2</v>
      </c>
    </row>
    <row r="19" spans="1:6" x14ac:dyDescent="0.25">
      <c r="A19" s="19" t="s">
        <v>6</v>
      </c>
      <c r="B19" s="20">
        <f>ROUND(('KNX Dissipation'!D20-'KNX Dissipation'!D25-'KNX Dissipation'!D53)*1.1/1000,2)</f>
        <v>2.19</v>
      </c>
      <c r="C19" s="20">
        <f>ROUND(('KNX Dissipation'!D20-'KNX Dissipation'!D25-'KNX Dissipation'!D53)*1.1/1000,2)</f>
        <v>2.19</v>
      </c>
      <c r="D19" s="20">
        <f>ROUND(1.2*B19,2)</f>
        <v>2.63</v>
      </c>
      <c r="E19" s="20">
        <f>ROUND(1.2*C19,2)</f>
        <v>2.63</v>
      </c>
      <c r="F19" s="20" t="s">
        <v>1</v>
      </c>
    </row>
    <row r="20" spans="1:6" x14ac:dyDescent="0.25">
      <c r="A20" s="19" t="s">
        <v>5</v>
      </c>
      <c r="B20" s="20">
        <f>('KNX Dissipation'!D25+'KNX Dissipation'!D53)/1000</f>
        <v>2.7250000000000001</v>
      </c>
      <c r="C20" s="20">
        <f>('KNX Dissipation'!D25+'KNX Dissipation'!D53)/1000</f>
        <v>2.7250000000000001</v>
      </c>
      <c r="D20" s="20">
        <f>ROUND(1.2*B20,2)</f>
        <v>3.27</v>
      </c>
      <c r="E20" s="20">
        <f>ROUND(1.2*C20,2)</f>
        <v>3.27</v>
      </c>
      <c r="F20" s="20" t="s">
        <v>1</v>
      </c>
    </row>
    <row r="21" spans="1:6" x14ac:dyDescent="0.25">
      <c r="A21" s="19" t="s">
        <v>97</v>
      </c>
      <c r="B21" s="20">
        <f t="shared" ref="B21:E21" si="5">B19+B20</f>
        <v>4.915</v>
      </c>
      <c r="C21" s="20">
        <f t="shared" si="5"/>
        <v>4.915</v>
      </c>
      <c r="D21" s="20">
        <f t="shared" si="5"/>
        <v>5.9</v>
      </c>
      <c r="E21" s="20">
        <f t="shared" si="5"/>
        <v>5.9</v>
      </c>
      <c r="F21" s="20" t="s">
        <v>1</v>
      </c>
    </row>
    <row r="22" spans="1:6" x14ac:dyDescent="0.25">
      <c r="A22" s="19" t="s">
        <v>93</v>
      </c>
      <c r="B22" s="20">
        <f>ROUND('KNX Dissipation'!E20*1.1/1000,2)</f>
        <v>0</v>
      </c>
      <c r="C22" s="20">
        <f>ROUND('KNX Dissipation'!E20*1.1/1000,2)</f>
        <v>0</v>
      </c>
      <c r="D22" s="20">
        <f t="shared" ref="D22:E24" si="6">ROUND(B22*1.2,2)</f>
        <v>0</v>
      </c>
      <c r="E22" s="20">
        <f t="shared" si="6"/>
        <v>0</v>
      </c>
      <c r="F22" s="20" t="s">
        <v>1</v>
      </c>
    </row>
    <row r="23" spans="1:6" x14ac:dyDescent="0.25">
      <c r="A23" s="19" t="s">
        <v>94</v>
      </c>
      <c r="B23" s="20">
        <f>ROUND(('KNX Dissipation'!C20+'KNX Dissipation'!F20)*1.1/1000,2)</f>
        <v>0.92</v>
      </c>
      <c r="C23" s="20">
        <f>ROUND(('KNX Dissipation'!C20+'KNX Dissipation'!F20)*1.1/1000,2)</f>
        <v>0.92</v>
      </c>
      <c r="D23" s="20">
        <f t="shared" si="6"/>
        <v>1.1000000000000001</v>
      </c>
      <c r="E23" s="20">
        <f t="shared" si="6"/>
        <v>1.1000000000000001</v>
      </c>
      <c r="F23" s="20" t="s">
        <v>1</v>
      </c>
    </row>
    <row r="24" spans="1:6" x14ac:dyDescent="0.25">
      <c r="A24" s="19" t="s">
        <v>95</v>
      </c>
      <c r="B24" s="20">
        <f>ROUND('KNX Dissipation'!B20*1.1/1000,2)</f>
        <v>0.14000000000000001</v>
      </c>
      <c r="C24" s="20">
        <f>ROUND('KNX Dissipation'!B20*1.1/1000,2)</f>
        <v>0.14000000000000001</v>
      </c>
      <c r="D24" s="20">
        <f t="shared" si="6"/>
        <v>0.17</v>
      </c>
      <c r="E24" s="20">
        <f t="shared" si="6"/>
        <v>0.17</v>
      </c>
      <c r="F24" s="20" t="s">
        <v>1</v>
      </c>
    </row>
    <row r="25" spans="1:6" x14ac:dyDescent="0.25">
      <c r="A25" s="5" t="s">
        <v>19</v>
      </c>
      <c r="B25" s="30">
        <f>B21*3.3/(B2-3)/0.85+B22*B16/(B2-3)/0.85+B23</f>
        <v>2.0424567474048443</v>
      </c>
      <c r="C25" s="30">
        <f>C21*3.3/(C2-3)/0.85+C22*C16/(C2-3)/0.85+C23</f>
        <v>2.0424567474048443</v>
      </c>
      <c r="D25" s="30">
        <f>B25*1.2</f>
        <v>2.4509480968858131</v>
      </c>
      <c r="E25" s="30">
        <f>C25*1.2</f>
        <v>2.4509480968858131</v>
      </c>
      <c r="F25" s="7" t="s">
        <v>1</v>
      </c>
    </row>
    <row r="26" spans="1:6" x14ac:dyDescent="0.25">
      <c r="A26" s="5" t="s">
        <v>23</v>
      </c>
      <c r="B26" s="30">
        <f>B25*1.03*1.02+B24</f>
        <v>2.2858050588235295</v>
      </c>
      <c r="C26" s="30">
        <f>C25*1.03*1.02+C24</f>
        <v>2.2858050588235295</v>
      </c>
      <c r="D26" s="30">
        <f>D25*1.1+D24</f>
        <v>2.8660429065743944</v>
      </c>
      <c r="E26" s="30">
        <f>E25*1.1+E24</f>
        <v>2.8660429065743944</v>
      </c>
      <c r="F26" s="7" t="s">
        <v>1</v>
      </c>
    </row>
    <row r="27" spans="1:6" x14ac:dyDescent="0.25">
      <c r="A27" s="5" t="s">
        <v>20</v>
      </c>
      <c r="B27" s="30">
        <f>3.3*B3/(B2-3)/0.85+B16*B4/(B2-3)/0.85</f>
        <v>9.1349480968858128</v>
      </c>
      <c r="C27" s="30">
        <f>3.3*C3/(C2-3)/0.85+C16*C4/(C2-3)/0.85</f>
        <v>9.1349480968858128</v>
      </c>
      <c r="D27" s="30">
        <f>3.3*D3/(D2-3)/0.85+D16*D4/(D2-3)/0.85</f>
        <v>9.1349480968858128</v>
      </c>
      <c r="E27" s="30">
        <f>3.3*E3/(E2-3)/0.85+E16*E4/(E2-3)/0.85</f>
        <v>9.1349480968858128</v>
      </c>
      <c r="F27" s="7" t="s">
        <v>1</v>
      </c>
    </row>
    <row r="28" spans="1:6" x14ac:dyDescent="0.25">
      <c r="A28" s="5" t="s">
        <v>21</v>
      </c>
      <c r="B28" s="30">
        <f t="shared" ref="B28:E28" si="7">B25+B27</f>
        <v>11.177404844290656</v>
      </c>
      <c r="C28" s="30">
        <f t="shared" si="7"/>
        <v>11.177404844290656</v>
      </c>
      <c r="D28" s="30">
        <f t="shared" si="7"/>
        <v>11.585896193771626</v>
      </c>
      <c r="E28" s="30">
        <f t="shared" si="7"/>
        <v>11.585896193771626</v>
      </c>
      <c r="F28" s="7" t="s">
        <v>1</v>
      </c>
    </row>
    <row r="29" spans="1:6" x14ac:dyDescent="0.25">
      <c r="A29" s="5" t="s">
        <v>127</v>
      </c>
      <c r="B29" s="30">
        <f t="shared" ref="B29:E29" si="8">(B28-0.9)*35/104*B5%*B6%+0.25*69/104*B5%*B6%</f>
        <v>0</v>
      </c>
      <c r="C29" s="30">
        <f t="shared" si="8"/>
        <v>0</v>
      </c>
      <c r="D29" s="30">
        <f t="shared" si="8"/>
        <v>0</v>
      </c>
      <c r="E29" s="30">
        <f t="shared" si="8"/>
        <v>0</v>
      </c>
      <c r="F29" s="7" t="s">
        <v>1</v>
      </c>
    </row>
    <row r="30" spans="1:6" x14ac:dyDescent="0.25">
      <c r="A30" s="5" t="s">
        <v>128</v>
      </c>
      <c r="B30" s="30">
        <f t="shared" ref="B30:E30" si="9">B28^2/(B28-B29)</f>
        <v>11.177404844290656</v>
      </c>
      <c r="C30" s="30">
        <f t="shared" si="9"/>
        <v>11.177404844290656</v>
      </c>
      <c r="D30" s="30">
        <f t="shared" si="9"/>
        <v>11.585896193771626</v>
      </c>
      <c r="E30" s="30">
        <f t="shared" si="9"/>
        <v>11.585896193771626</v>
      </c>
      <c r="F30" s="8" t="s">
        <v>1</v>
      </c>
    </row>
    <row r="31" spans="1:6" x14ac:dyDescent="0.25">
      <c r="A31" s="28" t="s">
        <v>123</v>
      </c>
      <c r="B31" s="30">
        <f>MIN(((B28/2+B30/2)-0.9),3.4*(B2-17))</f>
        <v>10.199999999999999</v>
      </c>
      <c r="C31" s="30">
        <f>MIN(((C28/2+C30/2)-0.9),3.4*(C2-17))</f>
        <v>10.199999999999999</v>
      </c>
      <c r="D31" s="30">
        <f>MIN(((D28/2+D30/2)-0.9),3.4*(D2-17))</f>
        <v>10.199999999999999</v>
      </c>
      <c r="E31" s="30">
        <f>MIN(((E28/2+E30/2)-0.9),3.4*(E2-17))</f>
        <v>10.199999999999999</v>
      </c>
      <c r="F31" s="20" t="s">
        <v>1</v>
      </c>
    </row>
    <row r="32" spans="1:6" x14ac:dyDescent="0.25">
      <c r="A32" s="28" t="s">
        <v>124</v>
      </c>
      <c r="B32" s="30">
        <f>B12*B31*(B5%*B6%*35/104/2)</f>
        <v>0</v>
      </c>
      <c r="C32" s="30">
        <f>C12*C31*(C5%*C6%*31/104/2)</f>
        <v>0</v>
      </c>
      <c r="D32" s="30">
        <f>D12*D31*(D5%*D6%*35/104/2)</f>
        <v>0</v>
      </c>
      <c r="E32" s="30">
        <f>E12*E31*(E5%*E6%*35/104/2)</f>
        <v>0</v>
      </c>
      <c r="F32" s="20" t="s">
        <v>1</v>
      </c>
    </row>
    <row r="33" spans="1:9" x14ac:dyDescent="0.25">
      <c r="A33" s="28" t="s">
        <v>125</v>
      </c>
      <c r="B33" s="30">
        <f>B30-B32</f>
        <v>11.177404844290656</v>
      </c>
      <c r="C33" s="30">
        <f>C30-C32</f>
        <v>11.177404844290656</v>
      </c>
      <c r="D33" s="30">
        <f>D30-D32</f>
        <v>11.585896193771626</v>
      </c>
      <c r="E33" s="30">
        <f>E30-E32</f>
        <v>11.585896193771626</v>
      </c>
      <c r="F33" s="20" t="s">
        <v>1</v>
      </c>
    </row>
    <row r="34" spans="1:9" x14ac:dyDescent="0.25">
      <c r="A34" s="37"/>
      <c r="B34" s="36"/>
      <c r="C34" s="36"/>
      <c r="D34" s="36"/>
      <c r="E34" s="36"/>
      <c r="F34" s="38"/>
    </row>
    <row r="36" spans="1:9" x14ac:dyDescent="0.25">
      <c r="A36" s="3" t="s">
        <v>32</v>
      </c>
      <c r="B36" s="4" t="s">
        <v>130</v>
      </c>
      <c r="C36" s="4" t="s">
        <v>131</v>
      </c>
      <c r="D36" s="4" t="s">
        <v>135</v>
      </c>
      <c r="E36" s="4" t="s">
        <v>134</v>
      </c>
      <c r="F36" s="4" t="s">
        <v>2</v>
      </c>
    </row>
    <row r="37" spans="1:9" x14ac:dyDescent="0.25">
      <c r="A37" s="19" t="s">
        <v>129</v>
      </c>
      <c r="B37" s="30">
        <f>('KNX Dissipation'!C14+'KNX Dissipation'!C15*B33/1000)</f>
        <v>2.5500476470588236</v>
      </c>
      <c r="C37" s="30">
        <f>('KNX Dissipation'!D14+'KNX Dissipation'!D15*B33/1000)</f>
        <v>1.836524961937716</v>
      </c>
      <c r="D37" s="30">
        <f>('KNX Dissipation'!C14+0.3+1.1*'KNX Dissipation'!C15*B33/1000)</f>
        <v>2.9070524117647056</v>
      </c>
      <c r="E37" s="30">
        <f>('KNX Dissipation'!D14+0.3+1.1*'KNX Dissipation'!D15*B33/1000)</f>
        <v>2.2015774581314878</v>
      </c>
      <c r="F37" s="7" t="s">
        <v>0</v>
      </c>
    </row>
    <row r="38" spans="1:9" x14ac:dyDescent="0.25">
      <c r="A38" s="9" t="s">
        <v>33</v>
      </c>
      <c r="B38" s="30">
        <f t="shared" ref="B38:E38" si="10">B70*B48</f>
        <v>187.39995642796703</v>
      </c>
      <c r="C38" s="30">
        <f t="shared" si="10"/>
        <v>188.61893287569293</v>
      </c>
      <c r="D38" s="30">
        <f t="shared" si="10"/>
        <v>203.43330533680393</v>
      </c>
      <c r="E38" s="30">
        <f t="shared" si="10"/>
        <v>205.28746400858799</v>
      </c>
      <c r="F38" s="7" t="s">
        <v>3</v>
      </c>
    </row>
    <row r="39" spans="1:9" x14ac:dyDescent="0.25">
      <c r="A39" s="5" t="s">
        <v>9</v>
      </c>
      <c r="B39" s="30">
        <f t="shared" ref="B39:E39" si="11">B2*B70/50</f>
        <v>4.2957127363475216</v>
      </c>
      <c r="C39" s="30">
        <f t="shared" si="11"/>
        <v>4.1538071867951363</v>
      </c>
      <c r="D39" s="30">
        <f t="shared" si="11"/>
        <v>4.760637199328281</v>
      </c>
      <c r="E39" s="30">
        <f t="shared" si="11"/>
        <v>4.6136103022765189</v>
      </c>
      <c r="F39" s="7" t="s">
        <v>3</v>
      </c>
    </row>
    <row r="40" spans="1:9" x14ac:dyDescent="0.25">
      <c r="A40" s="19" t="s">
        <v>136</v>
      </c>
      <c r="B40" s="30">
        <f>(2.57/(2*1.115)+SQRT(2.57^2-4*1.115*(1.367-B28))/(2*1.115))*B33*B48/100</f>
        <v>8.4546655502660233</v>
      </c>
      <c r="C40" s="30">
        <v>0</v>
      </c>
      <c r="D40" s="30">
        <f>((2.57/(2*1.115)+SQRT(2.57^2-4*1.115*(1.367-D33))/(2*1.115))*D33*D48/100)*1.2</f>
        <v>10.436808947128947</v>
      </c>
      <c r="E40" s="30">
        <v>0</v>
      </c>
      <c r="F40" s="7" t="s">
        <v>3</v>
      </c>
    </row>
    <row r="41" spans="1:9" x14ac:dyDescent="0.25">
      <c r="A41" s="5" t="s">
        <v>10</v>
      </c>
      <c r="B41" s="30">
        <f>B37*((2.57/(2*1.115)+SQRT(2.57^2-4*1.115*(1.367-B33))/(2*1.115))/100+1)*B33</f>
        <v>29.73843692123619</v>
      </c>
      <c r="C41" s="30">
        <f>C33*C37</f>
        <v>20.527583006223338</v>
      </c>
      <c r="D41" s="30">
        <f>D37*((2.57/(2*1.115)+SQRT(2.57^2-4*1.115*(1.367-D33))/(2*1.115))/100+1)*D33</f>
        <v>35.159992112123845</v>
      </c>
      <c r="E41" s="30">
        <f>E33*E37</f>
        <v>25.507247892459016</v>
      </c>
      <c r="F41" s="7" t="s">
        <v>3</v>
      </c>
    </row>
    <row r="42" spans="1:9" x14ac:dyDescent="0.25">
      <c r="A42" s="9" t="s">
        <v>34</v>
      </c>
      <c r="B42" s="30">
        <f>35/104*B5%*B6%*B38-B32*B48</f>
        <v>0</v>
      </c>
      <c r="C42" s="30">
        <f>35/104*C5%*C6%*C38-C32*C48</f>
        <v>0</v>
      </c>
      <c r="D42" s="30">
        <f>35/104*D5%*D6%*D38-D32*D48</f>
        <v>0</v>
      </c>
      <c r="E42" s="30">
        <f>35/104*E5%*E6%*E38-E32*E48</f>
        <v>0</v>
      </c>
      <c r="F42" s="8" t="s">
        <v>3</v>
      </c>
    </row>
    <row r="43" spans="1:9" x14ac:dyDescent="0.25">
      <c r="A43" s="9" t="s">
        <v>35</v>
      </c>
      <c r="B43" s="30">
        <f t="shared" ref="B43:E43" si="12">(B40+B39)/B38%</f>
        <v>6.803832044387133</v>
      </c>
      <c r="C43" s="30">
        <f t="shared" si="12"/>
        <v>2.202221761869819</v>
      </c>
      <c r="D43" s="30">
        <f t="shared" si="12"/>
        <v>7.4704808641320346</v>
      </c>
      <c r="E43" s="30">
        <f t="shared" si="12"/>
        <v>2.2473901777477816</v>
      </c>
      <c r="F43" s="8" t="s">
        <v>4</v>
      </c>
    </row>
    <row r="44" spans="1:9" x14ac:dyDescent="0.25">
      <c r="A44" s="5" t="s">
        <v>11</v>
      </c>
      <c r="B44" s="30">
        <f t="shared" ref="B44:E44" si="13">B38/(B38+B41+B40+B39+B42)%</f>
        <v>81.517663996587316</v>
      </c>
      <c r="C44" s="30">
        <f t="shared" si="13"/>
        <v>88.428807871487493</v>
      </c>
      <c r="D44" s="30">
        <f t="shared" si="13"/>
        <v>80.157890100647151</v>
      </c>
      <c r="E44" s="30">
        <f t="shared" si="13"/>
        <v>87.204845643171438</v>
      </c>
      <c r="F44" s="7" t="s">
        <v>4</v>
      </c>
    </row>
    <row r="45" spans="1:9" x14ac:dyDescent="0.25">
      <c r="A45" s="14" t="s">
        <v>22</v>
      </c>
      <c r="B45" s="31">
        <f t="shared" ref="B45:E45" si="14">(B70*B33/B28)/(1-B43%)+B24</f>
        <v>11.6633083896579</v>
      </c>
      <c r="C45" s="31">
        <f t="shared" si="14"/>
        <v>10.758357752159078</v>
      </c>
      <c r="D45" s="31">
        <f t="shared" si="14"/>
        <v>13.032482275353351</v>
      </c>
      <c r="E45" s="31">
        <f t="shared" si="14"/>
        <v>11.969199813349345</v>
      </c>
      <c r="F45" s="10" t="s">
        <v>1</v>
      </c>
    </row>
    <row r="46" spans="1:9" x14ac:dyDescent="0.25">
      <c r="A46" s="15"/>
      <c r="B46" s="16"/>
      <c r="C46" s="16"/>
      <c r="D46" s="16"/>
      <c r="E46" s="16"/>
      <c r="F46" s="16"/>
    </row>
    <row r="47" spans="1:9" x14ac:dyDescent="0.25">
      <c r="A47" s="3" t="s">
        <v>98</v>
      </c>
      <c r="B47" s="4" t="s">
        <v>130</v>
      </c>
      <c r="C47" s="4" t="s">
        <v>131</v>
      </c>
      <c r="D47" s="4" t="s">
        <v>135</v>
      </c>
      <c r="E47" s="4" t="s">
        <v>134</v>
      </c>
      <c r="F47" s="4" t="s">
        <v>2</v>
      </c>
    </row>
    <row r="48" spans="1:9" x14ac:dyDescent="0.25">
      <c r="A48" s="9" t="s">
        <v>12</v>
      </c>
      <c r="B48" s="30">
        <f t="shared" ref="B48:E48" si="15">B2-B37</f>
        <v>17.449952352941175</v>
      </c>
      <c r="C48" s="30">
        <f t="shared" si="15"/>
        <v>18.163475038062284</v>
      </c>
      <c r="D48" s="30">
        <f t="shared" si="15"/>
        <v>17.092947588235294</v>
      </c>
      <c r="E48" s="30">
        <f t="shared" si="15"/>
        <v>17.798422541868511</v>
      </c>
      <c r="F48" s="7" t="s">
        <v>0</v>
      </c>
      <c r="H48" s="33" t="s">
        <v>266</v>
      </c>
      <c r="I48" s="40">
        <f>C48</f>
        <v>18.163475038062284</v>
      </c>
    </row>
    <row r="49" spans="1:11" x14ac:dyDescent="0.25">
      <c r="A49" s="19" t="s">
        <v>96</v>
      </c>
      <c r="B49" s="30">
        <f t="shared" ref="B49:E49" si="16">B21+B3</f>
        <v>44.914999999999999</v>
      </c>
      <c r="C49" s="30">
        <f t="shared" si="16"/>
        <v>44.914999999999999</v>
      </c>
      <c r="D49" s="30">
        <f t="shared" si="16"/>
        <v>45.9</v>
      </c>
      <c r="E49" s="30">
        <f t="shared" si="16"/>
        <v>45.9</v>
      </c>
      <c r="F49" s="7" t="s">
        <v>1</v>
      </c>
    </row>
    <row r="50" spans="1:11" x14ac:dyDescent="0.25">
      <c r="A50" s="19" t="s">
        <v>107</v>
      </c>
      <c r="B50" s="30">
        <f t="shared" ref="B50:E50" si="17">(B48-3.3)/B8/0.000001/B48*3.3*0.004</f>
        <v>107.03718112292839</v>
      </c>
      <c r="C50" s="30">
        <f t="shared" si="17"/>
        <v>108.01780501323766</v>
      </c>
      <c r="D50" s="30">
        <f t="shared" si="17"/>
        <v>106.51580555364167</v>
      </c>
      <c r="E50" s="30">
        <f t="shared" si="17"/>
        <v>107.52592096432666</v>
      </c>
      <c r="F50" s="7" t="s">
        <v>1</v>
      </c>
    </row>
    <row r="51" spans="1:11" x14ac:dyDescent="0.25">
      <c r="A51" s="19" t="s">
        <v>108</v>
      </c>
      <c r="B51" s="30">
        <f t="shared" ref="B51:E51" si="18">1000*SQRT(2*B49*1000/B8*(B48-3.3)*3.3/B48*0.000004)</f>
        <v>98.056871152778754</v>
      </c>
      <c r="C51" s="30">
        <f t="shared" si="18"/>
        <v>98.505022330534686</v>
      </c>
      <c r="D51" s="30">
        <f t="shared" si="18"/>
        <v>98.884533420673534</v>
      </c>
      <c r="E51" s="30">
        <f t="shared" si="18"/>
        <v>99.352300147128886</v>
      </c>
      <c r="F51" s="7" t="s">
        <v>1</v>
      </c>
    </row>
    <row r="52" spans="1:11" x14ac:dyDescent="0.25">
      <c r="A52" s="5" t="s">
        <v>109</v>
      </c>
      <c r="B52" s="30">
        <f t="shared" ref="B52:E52" si="19">IF(B50&gt;2*B49,SQRT(2/3*B49*B51),SQRT(B49^2+B50^2/12))</f>
        <v>54.186248980265937</v>
      </c>
      <c r="C52" s="30">
        <f t="shared" si="19"/>
        <v>54.309932044246231</v>
      </c>
      <c r="D52" s="30">
        <f t="shared" si="19"/>
        <v>55.007878732710736</v>
      </c>
      <c r="E52" s="30">
        <f t="shared" si="19"/>
        <v>55.137830792498029</v>
      </c>
      <c r="F52" s="7" t="s">
        <v>1</v>
      </c>
    </row>
    <row r="53" spans="1:11" x14ac:dyDescent="0.25">
      <c r="A53" s="5" t="s">
        <v>110</v>
      </c>
      <c r="B53" s="30">
        <f t="shared" ref="B53:E53" si="20">B7*B52^2/1000</f>
        <v>7.7807963831611335</v>
      </c>
      <c r="C53" s="30">
        <f t="shared" si="20"/>
        <v>7.8163571044242062</v>
      </c>
      <c r="D53" s="30">
        <f t="shared" si="20"/>
        <v>8.0185468150824164</v>
      </c>
      <c r="E53" s="30">
        <f t="shared" si="20"/>
        <v>8.0564780189306795</v>
      </c>
      <c r="F53" s="7" t="s">
        <v>3</v>
      </c>
    </row>
    <row r="54" spans="1:11" x14ac:dyDescent="0.25">
      <c r="A54" s="5" t="s">
        <v>111</v>
      </c>
      <c r="B54" s="30">
        <f>Basic!C18*B52^2/1000</f>
        <v>2.9361495785513712</v>
      </c>
      <c r="C54" s="30">
        <f>Basic!C18*C52^2/1000</f>
        <v>2.9495687186506441</v>
      </c>
      <c r="D54" s="30">
        <f>Basic!C18*D52^2/1000</f>
        <v>3.0258667226726104</v>
      </c>
      <c r="E54" s="30">
        <f>Basic!C18*E52^2/1000</f>
        <v>3.0401803845021438</v>
      </c>
      <c r="F54" s="7" t="s">
        <v>3</v>
      </c>
    </row>
    <row r="55" spans="1:11" x14ac:dyDescent="0.25">
      <c r="A55" s="5" t="s">
        <v>114</v>
      </c>
      <c r="B55" s="30">
        <f>IF(B49&gt;B50/2,4.5*3.3/(B48)*B52^2/1000+1.55*(B48-3.3)/B48*B52^2/1000+(B49-B50/2)*B48^2/(900000000)+(B49+B50/2)*B48^2/(1200000000)/0.000004,4.5*(B51/1000)^3/3*B8*0.000001/(B48-3.3)/0.000004*1000+1.55*(B51/1000)^3/3*B8*0.000001/(3.3)/0.000004*1000+B51*B48^2/(1200000000)*1/0.000004)</f>
        <v>12.409554301548663</v>
      </c>
      <c r="C55" s="30">
        <f>IF(C49&gt;C50/2,4.5*3.3/(C48)*C52^2/1000+1.55*(C48-3.3)/C48*C52^2/1000+(C49-C50/2)*C48^2/(900000000)+(C49+C50/2)*C48^2/(1200000000)/0.000004,4.5*(C51/1000)^3/3*C8*0.000001/(C48-3.3)/0.000004*1000+1.55*(C51/1000)^3/3*C8*0.000001/(3.3)/0.000004*1000+C51*C48^2/(1200000000)*1/0.000004)</f>
        <v>12.923110017600798</v>
      </c>
      <c r="D55" s="30">
        <f>IF(D49&gt;D50/2,1.2*5.6*3.3/(D48)*D52^2/1000+1.2*2.1*(D48-3.3)/D48*D52^2/1000+2*(D49-D50/2)*D48^2/(900000000)+2*(D49+D50/2)*D48^2/(1200000000)/0.000004,1.2*5.6*(D51/1000)^3/3*D8*0.000001/(D48-3.3)/0.000004*1000+1.2*2.1*(D51/1000)^3/3*D8*0.000001/(3.3)/0.000004*1000+2*D51*D48^2/(1200000000)*1/0.000004)</f>
        <v>22.116649451990078</v>
      </c>
      <c r="E55" s="30">
        <f>IF(E49&gt;E50/2,1.2*5.6*3.3/(E48)*E52^2/1000+1.2*2.1*(E48-3.3)/E48*E52^2/1000+2*(E49-E50/2)*E48^2/(900000000)+2*(E49+E50/2)*E48^2/(1200000000)/0.000004,1.2*5.6*(E51/1000)^3/3*E8*0.000001/(E48-3.3)/0.000004*1000+1.2*2.1*(E51/1000)^3/3*E8*0.000001/(3.3)/0.000004*1000+2*E51*E48^2/(1200000000)*1/0.000004)</f>
        <v>23.142540809099859</v>
      </c>
      <c r="F55" s="7" t="s">
        <v>3</v>
      </c>
    </row>
    <row r="56" spans="1:11" x14ac:dyDescent="0.25">
      <c r="A56" s="28" t="s">
        <v>99</v>
      </c>
      <c r="B56" s="30">
        <f t="shared" ref="B56:E56" si="21">3.3*B49/(B55+B54+B53+3.3*B49)%</f>
        <v>86.503040498331501</v>
      </c>
      <c r="C56" s="30">
        <f t="shared" si="21"/>
        <v>86.219976963429801</v>
      </c>
      <c r="D56" s="30">
        <f t="shared" si="21"/>
        <v>82.039282852643836</v>
      </c>
      <c r="E56" s="30">
        <f t="shared" si="21"/>
        <v>81.563003148084221</v>
      </c>
      <c r="F56" s="7" t="s">
        <v>4</v>
      </c>
    </row>
    <row r="57" spans="1:11" x14ac:dyDescent="0.25">
      <c r="A57" s="5" t="s">
        <v>15</v>
      </c>
      <c r="B57" s="30">
        <f t="shared" ref="B57:E57" si="22">3.3*B49/B56%/B48</f>
        <v>9.8192818408688041</v>
      </c>
      <c r="C57" s="30">
        <f t="shared" si="22"/>
        <v>9.4645179669878399</v>
      </c>
      <c r="D57" s="30">
        <f t="shared" si="22"/>
        <v>10.801592998320704</v>
      </c>
      <c r="E57" s="30">
        <f t="shared" si="22"/>
        <v>10.434025755691298</v>
      </c>
      <c r="F57" s="7" t="s">
        <v>1</v>
      </c>
    </row>
    <row r="59" spans="1:11" x14ac:dyDescent="0.25">
      <c r="A59" s="3" t="s">
        <v>100</v>
      </c>
      <c r="B59" s="4" t="s">
        <v>130</v>
      </c>
      <c r="C59" s="4" t="s">
        <v>131</v>
      </c>
      <c r="D59" s="4" t="s">
        <v>135</v>
      </c>
      <c r="E59" s="4" t="s">
        <v>134</v>
      </c>
      <c r="F59" s="4" t="s">
        <v>2</v>
      </c>
    </row>
    <row r="60" spans="1:11" x14ac:dyDescent="0.25">
      <c r="A60" s="9" t="s">
        <v>12</v>
      </c>
      <c r="B60" s="30">
        <f t="shared" ref="B60:E60" si="23">B2-B37</f>
        <v>17.449952352941175</v>
      </c>
      <c r="C60" s="30">
        <f t="shared" si="23"/>
        <v>18.163475038062284</v>
      </c>
      <c r="D60" s="30">
        <f t="shared" si="23"/>
        <v>17.092947588235294</v>
      </c>
      <c r="E60" s="30">
        <f t="shared" si="23"/>
        <v>17.798422541868511</v>
      </c>
      <c r="F60" s="7" t="s">
        <v>0</v>
      </c>
    </row>
    <row r="61" spans="1:11" x14ac:dyDescent="0.25">
      <c r="A61" s="19" t="s">
        <v>101</v>
      </c>
      <c r="B61" s="30">
        <f t="shared" ref="B61:E61" si="24">(B22+B4)*B15</f>
        <v>0</v>
      </c>
      <c r="C61" s="30">
        <f t="shared" si="24"/>
        <v>0</v>
      </c>
      <c r="D61" s="30">
        <f t="shared" si="24"/>
        <v>0</v>
      </c>
      <c r="E61" s="30">
        <f t="shared" si="24"/>
        <v>0</v>
      </c>
      <c r="F61" s="7" t="s">
        <v>1</v>
      </c>
    </row>
    <row r="62" spans="1:11" x14ac:dyDescent="0.25">
      <c r="A62" s="19" t="s">
        <v>116</v>
      </c>
      <c r="B62" s="30">
        <f t="shared" ref="B62:D62" si="25">(B60-B16)/B8/0.000001/B60*B16*0.004</f>
        <v>0</v>
      </c>
      <c r="C62" s="30">
        <f>(C60-C16)/Basic!C26/0.000001/C60*C16*0.004</f>
        <v>0</v>
      </c>
      <c r="D62" s="30">
        <f t="shared" si="25"/>
        <v>0</v>
      </c>
      <c r="E62" s="30">
        <f>(E60-E16)/Basic!C26/0.000001/E60*E16*0.004</f>
        <v>0</v>
      </c>
      <c r="F62" s="7" t="s">
        <v>1</v>
      </c>
      <c r="J62" s="33" t="s">
        <v>444</v>
      </c>
      <c r="K62">
        <v>3</v>
      </c>
    </row>
    <row r="63" spans="1:11" x14ac:dyDescent="0.25">
      <c r="A63" s="19" t="s">
        <v>117</v>
      </c>
      <c r="B63" s="30">
        <f t="shared" ref="B63:D63" si="26">1000*SQRT(2*B61*1000/B8*(B60-B16)*B16/B60*0.000004)</f>
        <v>0</v>
      </c>
      <c r="C63" s="30">
        <f>1000*SQRT(2*C61*1000/Basic!C26*(C60-C16)*C16/C60*0.000004)</f>
        <v>0</v>
      </c>
      <c r="D63" s="30">
        <f t="shared" si="26"/>
        <v>0</v>
      </c>
      <c r="E63" s="30">
        <f>1000*SQRT(2*E61*1000/Basic!C26*(E60-E16)*E16/E60*0.000004)</f>
        <v>0</v>
      </c>
      <c r="F63" s="7" t="s">
        <v>1</v>
      </c>
      <c r="H63" s="33"/>
      <c r="J63" s="33" t="s">
        <v>256</v>
      </c>
      <c r="K63">
        <v>1</v>
      </c>
    </row>
    <row r="64" spans="1:11" x14ac:dyDescent="0.25">
      <c r="A64" s="5" t="s">
        <v>118</v>
      </c>
      <c r="B64" s="30">
        <f t="shared" ref="B64:E64" si="27">IF(B62&gt;2*B61,SQRT(2/3*B61*B63),SQRT(B61^2+B62^2/12))</f>
        <v>0</v>
      </c>
      <c r="C64" s="30">
        <f t="shared" si="27"/>
        <v>0</v>
      </c>
      <c r="D64" s="30">
        <f t="shared" si="27"/>
        <v>0</v>
      </c>
      <c r="E64" s="30">
        <f t="shared" si="27"/>
        <v>0</v>
      </c>
      <c r="F64" s="7" t="s">
        <v>1</v>
      </c>
      <c r="J64" s="33" t="s">
        <v>249</v>
      </c>
      <c r="K64">
        <v>2</v>
      </c>
    </row>
    <row r="65" spans="1:10" x14ac:dyDescent="0.25">
      <c r="A65" s="5" t="s">
        <v>112</v>
      </c>
      <c r="B65" s="30">
        <f t="shared" ref="B65:D65" si="28">B7*B64^2/1000</f>
        <v>0</v>
      </c>
      <c r="C65" s="30">
        <f>Basic!C27*C64^2/1000</f>
        <v>0</v>
      </c>
      <c r="D65" s="30">
        <f t="shared" si="28"/>
        <v>0</v>
      </c>
      <c r="E65" s="30">
        <f>Basic!C27*E64^2/1000</f>
        <v>0</v>
      </c>
      <c r="F65" s="7" t="s">
        <v>3</v>
      </c>
      <c r="J65" s="33"/>
    </row>
    <row r="66" spans="1:10" x14ac:dyDescent="0.25">
      <c r="A66" s="5" t="s">
        <v>113</v>
      </c>
      <c r="B66" s="30">
        <f t="shared" ref="B66:D66" si="29">1*B64^2/1000</f>
        <v>0</v>
      </c>
      <c r="C66" s="30">
        <f>Basic!C25*C64^2/1000</f>
        <v>0</v>
      </c>
      <c r="D66" s="30">
        <f t="shared" si="29"/>
        <v>0</v>
      </c>
      <c r="E66" s="30">
        <f>Basic!C25*E64^2/1000</f>
        <v>0</v>
      </c>
      <c r="F66" s="7" t="s">
        <v>3</v>
      </c>
    </row>
    <row r="67" spans="1:10" x14ac:dyDescent="0.25">
      <c r="A67" s="5" t="s">
        <v>115</v>
      </c>
      <c r="B67" s="30" t="e">
        <f>IF(B61&gt;B62/2,4.5*B16/(B60)*B64^2/1000+1.55*(B60-B16)/B60*B64^2/1000+(B61-B62/2)*B60^2/(900000000)+(B61+B62/2)*B60^2/(1200000000)/0.000004,4.5*(B63/1000)^3/3*B8*0.000001/(B60-B16)/0.000004*1000+1.55*(B63/1000)^3/3*B8*0.000001/(B16)/0.000004*1000+B63*B60^2/(1200000000)*1/0.000004)</f>
        <v>#DIV/0!</v>
      </c>
      <c r="C67" s="30" t="e">
        <f>IF(C61&gt;C62/2,4.5*C16/(C60)*C64^2/1000+1.55*(C60-C16)/C60*C64^2/1000+(C61-C62/2)*C60^2/(900000000)+(C61+C62/2)*C60^2/(1200000000)/0.000004,4.5*(C63/1000)^3/3*Basic!C26*0.000001/(C60-C16)/0.000004*1000+1.55*(C63/1000)^3/3*Basic!C26*0.000001/(C16)/0.000004*1000+C63*C60^2/(1200000000)*1/0.000004)</f>
        <v>#DIV/0!</v>
      </c>
      <c r="D67" s="30" t="e">
        <f>IF(D61&gt;D62/2,1.2*5.6*D16/(D60)*D64^2/1000+1.2*2.1*(D60-D16)/D60*D64^2/1000+(D61-D62/2)*2*D60^2/(900000000)+2*(D61+D62/2)*D60^2/(1200000000)/0.000004,1.2*5.6*(D63/1000)^3/3*D8*0.000001/(D60-D16)/0.000004*1000+1.2*2.1*(D63/1000)^3/3*D8*0.000001/(D16)/0.000004*1000+2*D63*D60^2/(1200000000)*1/0.000004)</f>
        <v>#DIV/0!</v>
      </c>
      <c r="E67" s="30" t="e">
        <f>IF(E61&gt;E62/2,1.2*5.6*E16/(E60)*E64^2/1000+1.2*2.1*(E60-E16)/E60*E64^2/1000+(E61-E62/2)*2*E60^2/(900000000)+2*(E61+E62/2)*E60^2/(1200000000)/0.000004,1.2*5.6*(E63/1000)^3/3*Basic!C26*0.000001/(E60-E16)/0.000004*1000+1.2*2.1*(E63/1000)^3/3*Basic!C26*0.000001/(E16)/0.000004*1000+2*E63*E60^2/(1200000000)*1/0.000004)</f>
        <v>#DIV/0!</v>
      </c>
      <c r="F67" s="7" t="s">
        <v>3</v>
      </c>
    </row>
    <row r="68" spans="1:10" x14ac:dyDescent="0.25">
      <c r="A68" s="28" t="s">
        <v>102</v>
      </c>
      <c r="B68" s="30">
        <f t="shared" ref="B68:E68" si="30">IF(B15=1,B16*B61/(B67+B66+B65+B16*B61)%,100)</f>
        <v>100</v>
      </c>
      <c r="C68" s="30">
        <f t="shared" si="30"/>
        <v>100</v>
      </c>
      <c r="D68" s="30">
        <f t="shared" si="30"/>
        <v>100</v>
      </c>
      <c r="E68" s="30">
        <f t="shared" si="30"/>
        <v>100</v>
      </c>
      <c r="F68" s="7" t="s">
        <v>4</v>
      </c>
    </row>
    <row r="69" spans="1:10" x14ac:dyDescent="0.25">
      <c r="A69" s="5" t="s">
        <v>15</v>
      </c>
      <c r="B69" s="30">
        <f t="shared" ref="B69:E69" si="31">B16*B61/B68%/B60</f>
        <v>0</v>
      </c>
      <c r="C69" s="30">
        <f t="shared" si="31"/>
        <v>0</v>
      </c>
      <c r="D69" s="30">
        <f t="shared" si="31"/>
        <v>0</v>
      </c>
      <c r="E69" s="30">
        <f t="shared" si="31"/>
        <v>0</v>
      </c>
      <c r="F69" s="7" t="s">
        <v>1</v>
      </c>
    </row>
    <row r="70" spans="1:10" x14ac:dyDescent="0.25">
      <c r="A70" s="18" t="s">
        <v>36</v>
      </c>
      <c r="B70" s="30">
        <f t="shared" ref="B70:E70" si="32">B57+B23+B69</f>
        <v>10.739281840868804</v>
      </c>
      <c r="C70" s="30">
        <f t="shared" si="32"/>
        <v>10.38451796698784</v>
      </c>
      <c r="D70" s="30">
        <f t="shared" si="32"/>
        <v>11.901592998320703</v>
      </c>
      <c r="E70" s="30">
        <f t="shared" si="32"/>
        <v>11.534025755691298</v>
      </c>
      <c r="F70" s="8" t="s">
        <v>1</v>
      </c>
    </row>
    <row r="72" spans="1:10" x14ac:dyDescent="0.25">
      <c r="A72" s="3" t="s">
        <v>24</v>
      </c>
      <c r="B72" s="4" t="s">
        <v>130</v>
      </c>
      <c r="C72" s="4" t="s">
        <v>131</v>
      </c>
      <c r="D72" s="4" t="s">
        <v>135</v>
      </c>
      <c r="E72" s="4" t="s">
        <v>134</v>
      </c>
      <c r="F72" s="4" t="s">
        <v>2</v>
      </c>
      <c r="I72" s="73" t="s">
        <v>248</v>
      </c>
      <c r="J72">
        <v>2</v>
      </c>
    </row>
    <row r="73" spans="1:10" x14ac:dyDescent="0.25">
      <c r="A73" s="5" t="s">
        <v>25</v>
      </c>
      <c r="B73" s="30">
        <f t="shared" ref="B73:D73" si="33">B45</f>
        <v>11.6633083896579</v>
      </c>
      <c r="C73" s="30">
        <f>C45*IF(AND(_DC2="No",V20V="No",Xtal="No"),VLOOKUP(KNX_Bus_Voltage,IbusCorrectionFactor[],2, FALSE),1)</f>
        <v>11.834193527374987</v>
      </c>
      <c r="D73" s="30">
        <f t="shared" si="33"/>
        <v>13.032482275353351</v>
      </c>
      <c r="E73" s="30">
        <f>E45*IF(AND(_DC2="No",V20V="No",Xtal="No"),VLOOKUP(KNX_Bus_Voltage,IbusCorrectionFactor[],2, FALSE),1)</f>
        <v>13.166119794684281</v>
      </c>
      <c r="F73" s="7" t="s">
        <v>1</v>
      </c>
      <c r="I73" s="74">
        <f t="shared" ref="I73:I83" si="34">C73</f>
        <v>11.834193527374987</v>
      </c>
    </row>
    <row r="74" spans="1:10" x14ac:dyDescent="0.25">
      <c r="A74" s="5" t="s">
        <v>120</v>
      </c>
      <c r="B74" s="30">
        <f t="shared" ref="B74:E74" si="35">B70</f>
        <v>10.739281840868804</v>
      </c>
      <c r="C74" s="30">
        <f t="shared" si="35"/>
        <v>10.38451796698784</v>
      </c>
      <c r="D74" s="30">
        <f t="shared" si="35"/>
        <v>11.901592998320703</v>
      </c>
      <c r="E74" s="30">
        <f t="shared" si="35"/>
        <v>11.534025755691298</v>
      </c>
      <c r="F74" s="7" t="s">
        <v>1</v>
      </c>
      <c r="I74" s="74">
        <f t="shared" si="34"/>
        <v>10.38451796698784</v>
      </c>
    </row>
    <row r="75" spans="1:10" x14ac:dyDescent="0.25">
      <c r="A75" s="19" t="s">
        <v>103</v>
      </c>
      <c r="B75" s="30">
        <f t="shared" ref="B75:E75" si="36">B37</f>
        <v>2.5500476470588236</v>
      </c>
      <c r="C75" s="30">
        <f t="shared" si="36"/>
        <v>1.836524961937716</v>
      </c>
      <c r="D75" s="30">
        <f t="shared" si="36"/>
        <v>2.9070524117647056</v>
      </c>
      <c r="E75" s="30">
        <f t="shared" si="36"/>
        <v>2.2015774581314878</v>
      </c>
      <c r="F75" s="20" t="s">
        <v>0</v>
      </c>
      <c r="I75" s="74">
        <f t="shared" si="34"/>
        <v>1.836524961937716</v>
      </c>
    </row>
    <row r="76" spans="1:10" x14ac:dyDescent="0.25">
      <c r="A76" s="5" t="s">
        <v>26</v>
      </c>
      <c r="B76" s="30">
        <f t="shared" ref="B76:E76" si="37">B73*B2</f>
        <v>233.26616779315799</v>
      </c>
      <c r="C76" s="30">
        <f t="shared" si="37"/>
        <v>236.68387054749974</v>
      </c>
      <c r="D76" s="30">
        <f t="shared" si="37"/>
        <v>260.64964550706702</v>
      </c>
      <c r="E76" s="30">
        <f t="shared" si="37"/>
        <v>263.32239589368561</v>
      </c>
      <c r="F76" s="7" t="s">
        <v>3</v>
      </c>
      <c r="I76" s="74">
        <f t="shared" si="34"/>
        <v>236.68387054749974</v>
      </c>
    </row>
    <row r="77" spans="1:10" x14ac:dyDescent="0.25">
      <c r="A77" s="9" t="s">
        <v>29</v>
      </c>
      <c r="B77" s="30">
        <f t="shared" ref="B77:E77" si="38">B2*B26+B42</f>
        <v>45.716101176470588</v>
      </c>
      <c r="C77" s="30">
        <f t="shared" si="38"/>
        <v>45.716101176470588</v>
      </c>
      <c r="D77" s="30">
        <f t="shared" si="38"/>
        <v>57.320858131487888</v>
      </c>
      <c r="E77" s="30">
        <f t="shared" si="38"/>
        <v>57.320858131487888</v>
      </c>
      <c r="F77" s="8" t="s">
        <v>3</v>
      </c>
      <c r="I77" s="74">
        <f t="shared" si="34"/>
        <v>45.716101176470588</v>
      </c>
    </row>
    <row r="78" spans="1:10" x14ac:dyDescent="0.25">
      <c r="A78" s="5" t="s">
        <v>27</v>
      </c>
      <c r="B78" s="30">
        <f t="shared" ref="B78:E78" si="39">B3*3.3+B4*B16</f>
        <v>132</v>
      </c>
      <c r="C78" s="30">
        <f t="shared" si="39"/>
        <v>132</v>
      </c>
      <c r="D78" s="30">
        <f t="shared" si="39"/>
        <v>132</v>
      </c>
      <c r="E78" s="30">
        <f t="shared" si="39"/>
        <v>132</v>
      </c>
      <c r="F78" s="7" t="s">
        <v>3</v>
      </c>
      <c r="I78" s="74">
        <f t="shared" si="34"/>
        <v>132</v>
      </c>
    </row>
    <row r="79" spans="1:10" x14ac:dyDescent="0.25">
      <c r="A79" s="9" t="s">
        <v>28</v>
      </c>
      <c r="B79" s="30">
        <f>'Overall efficiency'!B44</f>
        <v>81.517663996587316</v>
      </c>
      <c r="C79" s="30">
        <f>'Overall efficiency'!C44</f>
        <v>88.428807871487493</v>
      </c>
      <c r="D79" s="30">
        <f>'Overall efficiency'!D44</f>
        <v>80.157890100647151</v>
      </c>
      <c r="E79" s="30">
        <f>'Overall efficiency'!E44</f>
        <v>87.204845643171438</v>
      </c>
      <c r="F79" s="8" t="s">
        <v>4</v>
      </c>
      <c r="I79" s="74">
        <f t="shared" si="34"/>
        <v>88.428807871487493</v>
      </c>
    </row>
    <row r="80" spans="1:10" x14ac:dyDescent="0.25">
      <c r="A80" s="19" t="s">
        <v>99</v>
      </c>
      <c r="B80" s="30">
        <f t="shared" ref="B80:E80" si="40">B56</f>
        <v>86.503040498331501</v>
      </c>
      <c r="C80" s="30">
        <f t="shared" si="40"/>
        <v>86.219976963429801</v>
      </c>
      <c r="D80" s="30">
        <f t="shared" si="40"/>
        <v>82.039282852643836</v>
      </c>
      <c r="E80" s="30">
        <f t="shared" si="40"/>
        <v>81.563003148084221</v>
      </c>
      <c r="F80" s="8" t="s">
        <v>4</v>
      </c>
      <c r="I80" s="74">
        <f t="shared" si="34"/>
        <v>86.219976963429801</v>
      </c>
    </row>
    <row r="81" spans="1:16" x14ac:dyDescent="0.25">
      <c r="A81" s="19" t="s">
        <v>102</v>
      </c>
      <c r="B81" s="30">
        <f t="shared" ref="B81:E81" si="41">B68</f>
        <v>100</v>
      </c>
      <c r="C81" s="30">
        <f t="shared" si="41"/>
        <v>100</v>
      </c>
      <c r="D81" s="30">
        <f t="shared" si="41"/>
        <v>100</v>
      </c>
      <c r="E81" s="30">
        <f t="shared" si="41"/>
        <v>100</v>
      </c>
      <c r="F81" s="20" t="s">
        <v>4</v>
      </c>
      <c r="I81" s="74">
        <f t="shared" si="34"/>
        <v>100</v>
      </c>
    </row>
    <row r="82" spans="1:16" x14ac:dyDescent="0.25">
      <c r="A82" s="19" t="s">
        <v>119</v>
      </c>
      <c r="B82" s="30">
        <f t="shared" ref="B82:E82" si="42">B79*B80%</f>
        <v>70.515257900261716</v>
      </c>
      <c r="C82" s="30">
        <f t="shared" si="42"/>
        <v>76.243297775832119</v>
      </c>
      <c r="D82" s="30">
        <f t="shared" si="42"/>
        <v>65.760958188381309</v>
      </c>
      <c r="E82" s="30">
        <f t="shared" si="42"/>
        <v>71.126890997221906</v>
      </c>
      <c r="F82" s="8" t="s">
        <v>4</v>
      </c>
      <c r="I82" s="74">
        <f t="shared" si="34"/>
        <v>76.243297775832119</v>
      </c>
    </row>
    <row r="83" spans="1:16" x14ac:dyDescent="0.25">
      <c r="A83" s="9" t="s">
        <v>37</v>
      </c>
      <c r="B83" s="34">
        <f t="shared" ref="B83:E83" si="43">B78/B76%</f>
        <v>56.587717476906967</v>
      </c>
      <c r="C83" s="34">
        <f t="shared" si="43"/>
        <v>55.77059378598809</v>
      </c>
      <c r="D83" s="30">
        <f t="shared" si="43"/>
        <v>50.642693084507208</v>
      </c>
      <c r="E83" s="30">
        <f t="shared" si="43"/>
        <v>50.128664351547968</v>
      </c>
      <c r="F83" s="7" t="s">
        <v>4</v>
      </c>
      <c r="I83" s="74">
        <f t="shared" si="34"/>
        <v>55.77059378598809</v>
      </c>
    </row>
    <row r="85" spans="1:16" x14ac:dyDescent="0.25">
      <c r="A85" s="33" t="s">
        <v>387</v>
      </c>
      <c r="C85" s="39"/>
      <c r="I85" s="134">
        <f>IFERROR(I78/(I76-'Overall efficiency (2)'!I76)%,100)</f>
        <v>68.013601351326628</v>
      </c>
      <c r="N85" s="33"/>
      <c r="O85" s="33"/>
      <c r="P85" s="33"/>
    </row>
    <row r="88" spans="1:16" x14ac:dyDescent="0.25">
      <c r="H88" s="183" t="s">
        <v>438</v>
      </c>
      <c r="I88" s="183"/>
      <c r="J88" s="183"/>
    </row>
    <row r="89" spans="1:16" x14ac:dyDescent="0.25">
      <c r="H89" s="145" t="s">
        <v>439</v>
      </c>
      <c r="I89" s="145" t="s">
        <v>440</v>
      </c>
    </row>
    <row r="90" spans="1:16" x14ac:dyDescent="0.25">
      <c r="F90"/>
      <c r="H90" s="146">
        <v>20</v>
      </c>
      <c r="I90" s="2">
        <v>1.1000000000000001</v>
      </c>
    </row>
    <row r="91" spans="1:16" x14ac:dyDescent="0.25">
      <c r="F91"/>
      <c r="H91" s="146">
        <v>21</v>
      </c>
      <c r="I91" s="2">
        <v>1.0900000000000001</v>
      </c>
    </row>
    <row r="92" spans="1:16" x14ac:dyDescent="0.25">
      <c r="F92"/>
      <c r="H92" s="146">
        <v>22</v>
      </c>
      <c r="I92" s="2">
        <v>1.08</v>
      </c>
    </row>
    <row r="93" spans="1:16" x14ac:dyDescent="0.25">
      <c r="F93"/>
      <c r="H93" s="146">
        <v>23</v>
      </c>
      <c r="I93" s="2">
        <v>1.07</v>
      </c>
    </row>
    <row r="94" spans="1:16" x14ac:dyDescent="0.25">
      <c r="F94"/>
      <c r="H94" s="146">
        <v>24</v>
      </c>
      <c r="I94" s="2">
        <v>1.06</v>
      </c>
    </row>
    <row r="95" spans="1:16" x14ac:dyDescent="0.25">
      <c r="F95"/>
      <c r="H95" s="146">
        <v>25</v>
      </c>
      <c r="I95" s="2">
        <v>1.05</v>
      </c>
    </row>
    <row r="96" spans="1:16" x14ac:dyDescent="0.25">
      <c r="F96"/>
      <c r="H96" s="146">
        <v>26</v>
      </c>
      <c r="I96" s="2">
        <v>1.04</v>
      </c>
    </row>
    <row r="97" spans="6:9" x14ac:dyDescent="0.25">
      <c r="F97"/>
      <c r="H97" s="146">
        <v>27</v>
      </c>
      <c r="I97" s="2">
        <v>1.03</v>
      </c>
    </row>
    <row r="98" spans="6:9" x14ac:dyDescent="0.25">
      <c r="F98"/>
      <c r="H98" s="146">
        <v>28</v>
      </c>
      <c r="I98" s="2">
        <v>1.02</v>
      </c>
    </row>
    <row r="99" spans="6:9" x14ac:dyDescent="0.25">
      <c r="F99"/>
      <c r="H99" s="146">
        <v>29</v>
      </c>
      <c r="I99" s="2">
        <v>1.01</v>
      </c>
    </row>
    <row r="100" spans="6:9" x14ac:dyDescent="0.25">
      <c r="F100"/>
      <c r="H100" s="146">
        <v>30</v>
      </c>
      <c r="I100" s="2">
        <v>1</v>
      </c>
    </row>
    <row r="101" spans="6:9" x14ac:dyDescent="0.25">
      <c r="F101"/>
    </row>
  </sheetData>
  <mergeCells count="1">
    <mergeCell ref="H88:J88"/>
  </mergeCells>
  <conditionalFormatting sqref="B73:C75 B74:E75">
    <cfRule type="cellIs" dxfId="25" priority="13" stopIfTrue="1" operator="greaterThan">
      <formula>#REF!*12</formula>
    </cfRule>
  </conditionalFormatting>
  <conditionalFormatting sqref="D73:E75">
    <cfRule type="cellIs" dxfId="24" priority="29" stopIfTrue="1" operator="greaterThan">
      <formula>#REF!*12</formula>
    </cfRule>
  </conditionalFormatting>
  <pageMargins left="0.75" right="0.75" top="1" bottom="1" header="0.5" footer="0.5"/>
  <pageSetup paperSize="9" orientation="portrait" r:id="rId1"/>
  <headerFooter alignWithMargins="0"/>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4" id="{F98116FC-BD86-4EB5-9BC9-074AB48120FA}">
            <xm:f>(Basic!$C$22+1)&gt;#REF!</xm:f>
            <x14:dxf/>
          </x14:cfRule>
          <xm:sqref>D22</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P85"/>
  <sheetViews>
    <sheetView topLeftCell="A58" zoomScale="120" zoomScaleNormal="120" workbookViewId="0">
      <selection activeCell="A75" sqref="A75"/>
    </sheetView>
  </sheetViews>
  <sheetFormatPr defaultRowHeight="13.2" x14ac:dyDescent="0.25"/>
  <cols>
    <col min="1" max="1" width="47.5546875" customWidth="1"/>
    <col min="2" max="2" width="14.44140625" style="2" customWidth="1"/>
    <col min="3" max="3" width="15.5546875" style="2" customWidth="1"/>
    <col min="4" max="4" width="19.6640625" style="2" customWidth="1"/>
    <col min="5" max="5" width="21.88671875" style="2" bestFit="1" customWidth="1"/>
    <col min="6" max="6" width="9.109375" style="2"/>
    <col min="8" max="8" width="12.44140625" bestFit="1" customWidth="1"/>
    <col min="9" max="9" width="11.88671875" bestFit="1" customWidth="1"/>
  </cols>
  <sheetData>
    <row r="1" spans="1:6" s="1" customFormat="1" x14ac:dyDescent="0.25">
      <c r="A1" s="3" t="s">
        <v>16</v>
      </c>
      <c r="B1" s="4" t="s">
        <v>130</v>
      </c>
      <c r="C1" s="4" t="s">
        <v>131</v>
      </c>
      <c r="D1" s="4" t="s">
        <v>135</v>
      </c>
      <c r="E1" s="4" t="s">
        <v>134</v>
      </c>
      <c r="F1" s="4" t="s">
        <v>2</v>
      </c>
    </row>
    <row r="2" spans="1:6" x14ac:dyDescent="0.25">
      <c r="A2" s="5" t="s">
        <v>7</v>
      </c>
      <c r="B2" s="17">
        <f>Basic!C13</f>
        <v>20</v>
      </c>
      <c r="C2" s="32">
        <f t="shared" ref="C2:C8" si="0">B2</f>
        <v>20</v>
      </c>
      <c r="D2" s="32">
        <f t="shared" ref="D2:D8" si="1">C2</f>
        <v>20</v>
      </c>
      <c r="E2" s="32">
        <f t="shared" ref="E2:E8" si="2">D2</f>
        <v>20</v>
      </c>
      <c r="F2" s="7" t="s">
        <v>0</v>
      </c>
    </row>
    <row r="3" spans="1:6" x14ac:dyDescent="0.25">
      <c r="A3" s="5" t="s">
        <v>17</v>
      </c>
      <c r="B3" s="17">
        <v>0</v>
      </c>
      <c r="C3" s="32">
        <f t="shared" si="0"/>
        <v>0</v>
      </c>
      <c r="D3" s="32">
        <f t="shared" si="1"/>
        <v>0</v>
      </c>
      <c r="E3" s="32">
        <f t="shared" si="2"/>
        <v>0</v>
      </c>
      <c r="F3" s="7" t="s">
        <v>1</v>
      </c>
    </row>
    <row r="4" spans="1:6" x14ac:dyDescent="0.25">
      <c r="A4" s="19" t="s">
        <v>38</v>
      </c>
      <c r="B4" s="17">
        <v>0</v>
      </c>
      <c r="C4" s="32">
        <f t="shared" si="0"/>
        <v>0</v>
      </c>
      <c r="D4" s="32">
        <f t="shared" si="1"/>
        <v>0</v>
      </c>
      <c r="E4" s="32">
        <f t="shared" si="2"/>
        <v>0</v>
      </c>
      <c r="F4" s="20" t="s">
        <v>1</v>
      </c>
    </row>
    <row r="5" spans="1:6" x14ac:dyDescent="0.25">
      <c r="A5" s="9" t="s">
        <v>30</v>
      </c>
      <c r="B5" s="72">
        <f>Basic!C14</f>
        <v>0</v>
      </c>
      <c r="C5" s="32">
        <f t="shared" si="0"/>
        <v>0</v>
      </c>
      <c r="D5" s="32">
        <f t="shared" si="1"/>
        <v>0</v>
      </c>
      <c r="E5" s="32">
        <f t="shared" si="2"/>
        <v>0</v>
      </c>
      <c r="F5" s="8" t="s">
        <v>4</v>
      </c>
    </row>
    <row r="6" spans="1:6" x14ac:dyDescent="0.25">
      <c r="A6" s="9" t="s">
        <v>31</v>
      </c>
      <c r="B6" s="72">
        <f>Basic!C15</f>
        <v>0</v>
      </c>
      <c r="C6" s="32">
        <f t="shared" si="0"/>
        <v>0</v>
      </c>
      <c r="D6" s="32">
        <f t="shared" si="1"/>
        <v>0</v>
      </c>
      <c r="E6" s="32">
        <f t="shared" si="2"/>
        <v>0</v>
      </c>
      <c r="F6" s="8" t="s">
        <v>4</v>
      </c>
    </row>
    <row r="7" spans="1:6" x14ac:dyDescent="0.25">
      <c r="A7" s="5" t="s">
        <v>13</v>
      </c>
      <c r="B7" s="17">
        <f>Basic!C20</f>
        <v>2.65</v>
      </c>
      <c r="C7" s="32">
        <f t="shared" si="0"/>
        <v>2.65</v>
      </c>
      <c r="D7" s="32">
        <f t="shared" si="1"/>
        <v>2.65</v>
      </c>
      <c r="E7" s="32">
        <f t="shared" si="2"/>
        <v>2.65</v>
      </c>
      <c r="F7" s="7" t="s">
        <v>14</v>
      </c>
    </row>
    <row r="8" spans="1:6" x14ac:dyDescent="0.25">
      <c r="A8" s="5" t="s">
        <v>105</v>
      </c>
      <c r="B8" s="72">
        <f>Basic!C19</f>
        <v>100</v>
      </c>
      <c r="C8" s="32">
        <f t="shared" si="0"/>
        <v>100</v>
      </c>
      <c r="D8" s="32">
        <f t="shared" si="1"/>
        <v>100</v>
      </c>
      <c r="E8" s="32">
        <f t="shared" si="2"/>
        <v>100</v>
      </c>
      <c r="F8" s="7" t="s">
        <v>106</v>
      </c>
    </row>
    <row r="9" spans="1:6" x14ac:dyDescent="0.25">
      <c r="A9" s="11"/>
      <c r="B9" s="148"/>
      <c r="C9" s="12"/>
      <c r="D9" s="13"/>
      <c r="E9" s="13"/>
      <c r="F9" s="13"/>
    </row>
    <row r="10" spans="1:6" x14ac:dyDescent="0.25">
      <c r="A10" s="29" t="s">
        <v>88</v>
      </c>
      <c r="B10" s="32"/>
      <c r="C10" s="7"/>
      <c r="D10" s="6"/>
      <c r="E10" s="6"/>
      <c r="F10" s="6"/>
    </row>
    <row r="11" spans="1:6" x14ac:dyDescent="0.25">
      <c r="A11" s="9" t="s">
        <v>8</v>
      </c>
      <c r="B11" s="17">
        <f>VLOOKUP(Basic!C16,FaninTable,2,FALSE)</f>
        <v>1.029023746701847</v>
      </c>
      <c r="C11" s="32">
        <f t="shared" ref="C11:C16" si="3">B11</f>
        <v>1.029023746701847</v>
      </c>
      <c r="D11" s="32">
        <f>C11</f>
        <v>1.029023746701847</v>
      </c>
      <c r="E11" s="32">
        <f>D11</f>
        <v>1.029023746701847</v>
      </c>
      <c r="F11" s="7"/>
    </row>
    <row r="12" spans="1:6" x14ac:dyDescent="0.25">
      <c r="A12" s="19" t="s">
        <v>126</v>
      </c>
      <c r="B12" s="17">
        <v>1</v>
      </c>
      <c r="C12" s="32">
        <f t="shared" si="3"/>
        <v>1</v>
      </c>
      <c r="D12" s="32">
        <f>C12</f>
        <v>1</v>
      </c>
      <c r="E12" s="32">
        <f>B12</f>
        <v>1</v>
      </c>
      <c r="F12" s="7"/>
    </row>
    <row r="13" spans="1:6" x14ac:dyDescent="0.25">
      <c r="A13" s="19" t="s">
        <v>90</v>
      </c>
      <c r="B13" s="17">
        <f>IF(Basic!C31="Yes",1,0)</f>
        <v>0</v>
      </c>
      <c r="C13" s="32">
        <f t="shared" si="3"/>
        <v>0</v>
      </c>
      <c r="D13" s="32">
        <f>C13</f>
        <v>0</v>
      </c>
      <c r="E13" s="32">
        <f t="shared" ref="E13:E16" si="4">D13</f>
        <v>0</v>
      </c>
      <c r="F13" s="7"/>
    </row>
    <row r="14" spans="1:6" x14ac:dyDescent="0.25">
      <c r="A14" s="28" t="s">
        <v>91</v>
      </c>
      <c r="B14" s="17">
        <f>IF(Basic!C28="Yes",1,0)</f>
        <v>0</v>
      </c>
      <c r="C14" s="32">
        <f>B14</f>
        <v>0</v>
      </c>
      <c r="D14" s="32">
        <f>C14</f>
        <v>0</v>
      </c>
      <c r="E14" s="32">
        <f t="shared" si="4"/>
        <v>0</v>
      </c>
      <c r="F14" s="7"/>
    </row>
    <row r="15" spans="1:6" x14ac:dyDescent="0.25">
      <c r="A15" s="28" t="s">
        <v>92</v>
      </c>
      <c r="B15" s="17">
        <f>IF(Basic!C21="Yes",1,0)</f>
        <v>0</v>
      </c>
      <c r="C15" s="32">
        <f t="shared" si="3"/>
        <v>0</v>
      </c>
      <c r="D15" s="32">
        <f>C15</f>
        <v>0</v>
      </c>
      <c r="E15" s="32">
        <f t="shared" si="4"/>
        <v>0</v>
      </c>
      <c r="F15" s="7"/>
    </row>
    <row r="16" spans="1:6" x14ac:dyDescent="0.25">
      <c r="A16" s="28" t="s">
        <v>89</v>
      </c>
      <c r="B16" s="17">
        <f>IF(B15,Basic!C22,0)</f>
        <v>0</v>
      </c>
      <c r="C16" s="32">
        <f t="shared" si="3"/>
        <v>0</v>
      </c>
      <c r="D16" s="32">
        <f>C16</f>
        <v>0</v>
      </c>
      <c r="E16" s="32">
        <f t="shared" si="4"/>
        <v>0</v>
      </c>
      <c r="F16" s="20" t="s">
        <v>0</v>
      </c>
    </row>
    <row r="17" spans="1:6" x14ac:dyDescent="0.25">
      <c r="A17" s="11"/>
      <c r="B17" s="12"/>
      <c r="C17" s="12"/>
      <c r="D17" s="13"/>
      <c r="E17" s="13"/>
      <c r="F17" s="13"/>
    </row>
    <row r="18" spans="1:6" x14ac:dyDescent="0.25">
      <c r="A18" s="3" t="s">
        <v>18</v>
      </c>
      <c r="B18" s="4" t="s">
        <v>130</v>
      </c>
      <c r="C18" s="4" t="s">
        <v>131</v>
      </c>
      <c r="D18" s="4" t="s">
        <v>135</v>
      </c>
      <c r="E18" s="4" t="s">
        <v>134</v>
      </c>
      <c r="F18" s="4" t="s">
        <v>2</v>
      </c>
    </row>
    <row r="19" spans="1:6" x14ac:dyDescent="0.25">
      <c r="A19" s="19" t="s">
        <v>6</v>
      </c>
      <c r="B19" s="20">
        <f>ROUND(('KNX Dissipation'!D20-'KNX Dissipation'!D25-'KNX Dissipation'!D53)*1.1/1000,2)</f>
        <v>2.19</v>
      </c>
      <c r="C19" s="20">
        <f>ROUND(('KNX Dissipation'!D20-'KNX Dissipation'!D25-'KNX Dissipation'!D53)*1.1/1000,2)</f>
        <v>2.19</v>
      </c>
      <c r="D19" s="20">
        <f>ROUND(1.2*B19,2)</f>
        <v>2.63</v>
      </c>
      <c r="E19" s="20">
        <f>ROUND(1.2*C19,2)</f>
        <v>2.63</v>
      </c>
      <c r="F19" s="20" t="s">
        <v>1</v>
      </c>
    </row>
    <row r="20" spans="1:6" x14ac:dyDescent="0.25">
      <c r="A20" s="19" t="s">
        <v>5</v>
      </c>
      <c r="B20" s="20">
        <f>('KNX Dissipation'!D25+'KNX Dissipation'!D53)/1000</f>
        <v>2.7250000000000001</v>
      </c>
      <c r="C20" s="20">
        <f>('KNX Dissipation'!D25+'KNX Dissipation'!D53)/1000</f>
        <v>2.7250000000000001</v>
      </c>
      <c r="D20" s="20">
        <f>ROUND(1.2*B20,2)</f>
        <v>3.27</v>
      </c>
      <c r="E20" s="20">
        <f>ROUND(1.2*C20,2)</f>
        <v>3.27</v>
      </c>
      <c r="F20" s="20" t="s">
        <v>1</v>
      </c>
    </row>
    <row r="21" spans="1:6" x14ac:dyDescent="0.25">
      <c r="A21" s="19" t="s">
        <v>97</v>
      </c>
      <c r="B21" s="20">
        <f t="shared" ref="B21:E21" si="5">B19+B20</f>
        <v>4.915</v>
      </c>
      <c r="C21" s="20">
        <f t="shared" si="5"/>
        <v>4.915</v>
      </c>
      <c r="D21" s="20">
        <f t="shared" si="5"/>
        <v>5.9</v>
      </c>
      <c r="E21" s="20">
        <f t="shared" si="5"/>
        <v>5.9</v>
      </c>
      <c r="F21" s="20" t="s">
        <v>1</v>
      </c>
    </row>
    <row r="22" spans="1:6" x14ac:dyDescent="0.25">
      <c r="A22" s="19" t="s">
        <v>93</v>
      </c>
      <c r="B22" s="20">
        <f>ROUND('KNX Dissipation'!E20*1.1/1000,2)</f>
        <v>0</v>
      </c>
      <c r="C22" s="20">
        <f>ROUND('KNX Dissipation'!E20*1.1/1000,2)</f>
        <v>0</v>
      </c>
      <c r="D22" s="20">
        <f t="shared" ref="D22:E24" si="6">ROUND(B22*1.2,2)</f>
        <v>0</v>
      </c>
      <c r="E22" s="20">
        <f t="shared" si="6"/>
        <v>0</v>
      </c>
      <c r="F22" s="20" t="s">
        <v>1</v>
      </c>
    </row>
    <row r="23" spans="1:6" x14ac:dyDescent="0.25">
      <c r="A23" s="19" t="s">
        <v>94</v>
      </c>
      <c r="B23" s="20">
        <f>ROUND(('KNX Dissipation'!C20+'KNX Dissipation'!F20)*1.1/1000,2)</f>
        <v>0.92</v>
      </c>
      <c r="C23" s="20">
        <f>ROUND(('KNX Dissipation'!C20+'KNX Dissipation'!F20)*1.1/1000,2)</f>
        <v>0.92</v>
      </c>
      <c r="D23" s="20">
        <f t="shared" si="6"/>
        <v>1.1000000000000001</v>
      </c>
      <c r="E23" s="20">
        <f t="shared" si="6"/>
        <v>1.1000000000000001</v>
      </c>
      <c r="F23" s="20" t="s">
        <v>1</v>
      </c>
    </row>
    <row r="24" spans="1:6" x14ac:dyDescent="0.25">
      <c r="A24" s="19" t="s">
        <v>95</v>
      </c>
      <c r="B24" s="20">
        <f>ROUND('KNX Dissipation'!B20*1.1/1000,2)</f>
        <v>0.14000000000000001</v>
      </c>
      <c r="C24" s="20">
        <f>ROUND('KNX Dissipation'!B20*1.1/1000,2)</f>
        <v>0.14000000000000001</v>
      </c>
      <c r="D24" s="20">
        <f t="shared" si="6"/>
        <v>0.17</v>
      </c>
      <c r="E24" s="20">
        <f t="shared" si="6"/>
        <v>0.17</v>
      </c>
      <c r="F24" s="20" t="s">
        <v>1</v>
      </c>
    </row>
    <row r="25" spans="1:6" x14ac:dyDescent="0.25">
      <c r="A25" s="5" t="s">
        <v>19</v>
      </c>
      <c r="B25" s="30">
        <f>B21*3.3/(B2-3)/0.85+B22*B16/(B2-3)/0.85+B23</f>
        <v>2.0424567474048443</v>
      </c>
      <c r="C25" s="30">
        <f>C21*3.3/(C2-3)/0.85+C22*C16/(C2-3)/0.85+C23</f>
        <v>2.0424567474048443</v>
      </c>
      <c r="D25" s="30">
        <f>B25*1.2</f>
        <v>2.4509480968858131</v>
      </c>
      <c r="E25" s="30">
        <f>C25*1.2</f>
        <v>2.4509480968858131</v>
      </c>
      <c r="F25" s="7" t="s">
        <v>1</v>
      </c>
    </row>
    <row r="26" spans="1:6" x14ac:dyDescent="0.25">
      <c r="A26" s="5" t="s">
        <v>23</v>
      </c>
      <c r="B26" s="30">
        <f>B25*1.03*1.02+B24</f>
        <v>2.2858050588235295</v>
      </c>
      <c r="C26" s="30">
        <f>C25*1.03*1.02+C24</f>
        <v>2.2858050588235295</v>
      </c>
      <c r="D26" s="30">
        <f>D25*1.1+D24</f>
        <v>2.8660429065743944</v>
      </c>
      <c r="E26" s="30">
        <f>E25*1.1+E24</f>
        <v>2.8660429065743944</v>
      </c>
      <c r="F26" s="7" t="s">
        <v>1</v>
      </c>
    </row>
    <row r="27" spans="1:6" x14ac:dyDescent="0.25">
      <c r="A27" s="5" t="s">
        <v>20</v>
      </c>
      <c r="B27" s="30">
        <f>3.3*B3/(B2-3)/0.85+B16*B4/(B2-3)/0.85</f>
        <v>0</v>
      </c>
      <c r="C27" s="30">
        <f>3.3*C3/(C2-3)/0.85+C16*C4/(C2-3)/0.85</f>
        <v>0</v>
      </c>
      <c r="D27" s="30">
        <f>3.3*D3/(D2-3)/0.85+D16*D4/(D2-3)/0.85</f>
        <v>0</v>
      </c>
      <c r="E27" s="30">
        <f>3.3*E3/(E2-3)/0.85+E16*E4/(E2-3)/0.85</f>
        <v>0</v>
      </c>
      <c r="F27" s="7" t="s">
        <v>1</v>
      </c>
    </row>
    <row r="28" spans="1:6" x14ac:dyDescent="0.25">
      <c r="A28" s="5" t="s">
        <v>21</v>
      </c>
      <c r="B28" s="30">
        <f t="shared" ref="B28:E28" si="7">B25+B27</f>
        <v>2.0424567474048443</v>
      </c>
      <c r="C28" s="30">
        <f t="shared" si="7"/>
        <v>2.0424567474048443</v>
      </c>
      <c r="D28" s="30">
        <f t="shared" si="7"/>
        <v>2.4509480968858131</v>
      </c>
      <c r="E28" s="30">
        <f t="shared" si="7"/>
        <v>2.4509480968858131</v>
      </c>
      <c r="F28" s="7" t="s">
        <v>1</v>
      </c>
    </row>
    <row r="29" spans="1:6" x14ac:dyDescent="0.25">
      <c r="A29" s="5" t="s">
        <v>127</v>
      </c>
      <c r="B29" s="30">
        <f t="shared" ref="B29:E29" si="8">(B28-0.9)*35/104*B5%*B6%+0.25*69/104*B5%*B6%</f>
        <v>0</v>
      </c>
      <c r="C29" s="30">
        <f t="shared" si="8"/>
        <v>0</v>
      </c>
      <c r="D29" s="30">
        <f t="shared" si="8"/>
        <v>0</v>
      </c>
      <c r="E29" s="30">
        <f t="shared" si="8"/>
        <v>0</v>
      </c>
      <c r="F29" s="7" t="s">
        <v>1</v>
      </c>
    </row>
    <row r="30" spans="1:6" x14ac:dyDescent="0.25">
      <c r="A30" s="5" t="s">
        <v>128</v>
      </c>
      <c r="B30" s="30">
        <f t="shared" ref="B30:E30" si="9">B28^2/(B28-B29)</f>
        <v>2.0424567474048443</v>
      </c>
      <c r="C30" s="30">
        <f t="shared" si="9"/>
        <v>2.0424567474048443</v>
      </c>
      <c r="D30" s="30">
        <f t="shared" si="9"/>
        <v>2.4509480968858131</v>
      </c>
      <c r="E30" s="30">
        <f t="shared" si="9"/>
        <v>2.4509480968858131</v>
      </c>
      <c r="F30" s="8" t="s">
        <v>1</v>
      </c>
    </row>
    <row r="31" spans="1:6" x14ac:dyDescent="0.25">
      <c r="A31" s="28" t="s">
        <v>123</v>
      </c>
      <c r="B31" s="30">
        <f>MIN(((B28/2+B30/2)-0.9),3.4*(B2-17))</f>
        <v>1.1424567474048444</v>
      </c>
      <c r="C31" s="30">
        <f>MIN(((C28/2+C30/2)-0.9),3.4*(C2-17))</f>
        <v>1.1424567474048444</v>
      </c>
      <c r="D31" s="30">
        <f>MIN(((D28/2+D30/2)-0.9),3.4*(D2-17))</f>
        <v>1.5509480968858131</v>
      </c>
      <c r="E31" s="30">
        <f>MIN(((E28/2+E30/2)-0.9),3.4*(E2-17))</f>
        <v>1.5509480968858131</v>
      </c>
      <c r="F31" s="20" t="s">
        <v>1</v>
      </c>
    </row>
    <row r="32" spans="1:6" x14ac:dyDescent="0.25">
      <c r="A32" s="28" t="s">
        <v>124</v>
      </c>
      <c r="B32" s="30">
        <f>B12*B31*(B5%*B6%*35/104/2)</f>
        <v>0</v>
      </c>
      <c r="C32" s="30">
        <f>C12*C31*(C5%*C6%*31/104/2)</f>
        <v>0</v>
      </c>
      <c r="D32" s="30">
        <f>D12*D31*(D5%*D6%*35/104/2)</f>
        <v>0</v>
      </c>
      <c r="E32" s="30">
        <f>E12*E31*(E5%*E6%*35/104/2)</f>
        <v>0</v>
      </c>
      <c r="F32" s="20" t="s">
        <v>1</v>
      </c>
    </row>
    <row r="33" spans="1:9" x14ac:dyDescent="0.25">
      <c r="A33" s="28" t="s">
        <v>125</v>
      </c>
      <c r="B33" s="30">
        <f>B30-B32</f>
        <v>2.0424567474048443</v>
      </c>
      <c r="C33" s="30">
        <f>C30-C32</f>
        <v>2.0424567474048443</v>
      </c>
      <c r="D33" s="30">
        <f>D30-D32</f>
        <v>2.4509480968858131</v>
      </c>
      <c r="E33" s="30">
        <f>E30-E32</f>
        <v>2.4509480968858131</v>
      </c>
      <c r="F33" s="20" t="s">
        <v>1</v>
      </c>
    </row>
    <row r="34" spans="1:9" x14ac:dyDescent="0.25">
      <c r="A34" s="37"/>
      <c r="B34" s="36"/>
      <c r="C34" s="36"/>
      <c r="D34" s="36"/>
      <c r="E34" s="36"/>
      <c r="F34" s="38"/>
    </row>
    <row r="36" spans="1:9" x14ac:dyDescent="0.25">
      <c r="A36" s="3" t="s">
        <v>32</v>
      </c>
      <c r="B36" s="4" t="s">
        <v>130</v>
      </c>
      <c r="C36" s="4" t="s">
        <v>131</v>
      </c>
      <c r="D36" s="4" t="s">
        <v>135</v>
      </c>
      <c r="E36" s="4" t="s">
        <v>134</v>
      </c>
      <c r="F36" s="4" t="s">
        <v>2</v>
      </c>
    </row>
    <row r="37" spans="1:9" x14ac:dyDescent="0.25">
      <c r="A37" s="19" t="s">
        <v>129</v>
      </c>
      <c r="B37" s="30">
        <f>('KNX Dissipation'!C14+'KNX Dissipation'!C15*B33/1000)</f>
        <v>2.0841652941176472</v>
      </c>
      <c r="C37" s="30">
        <f>('KNX Dissipation'!D14+'KNX Dissipation'!D15*B33/1000)</f>
        <v>1.304870982698962</v>
      </c>
      <c r="D37" s="30">
        <f>('KNX Dissipation'!C14+0.3+1.1*'KNX Dissipation'!C15*B33/1000)</f>
        <v>2.3945818235294114</v>
      </c>
      <c r="E37" s="30">
        <f>('KNX Dissipation'!D14+0.3+1.1*'KNX Dissipation'!D15*B33/1000)</f>
        <v>1.6167580809688582</v>
      </c>
      <c r="F37" s="7" t="s">
        <v>0</v>
      </c>
    </row>
    <row r="38" spans="1:9" x14ac:dyDescent="0.25">
      <c r="A38" s="9" t="s">
        <v>33</v>
      </c>
      <c r="B38" s="30">
        <f t="shared" ref="B38:E38" si="10">B70*B48</f>
        <v>35.490011016052968</v>
      </c>
      <c r="C38" s="30">
        <f t="shared" si="10"/>
        <v>36.411919962735368</v>
      </c>
      <c r="D38" s="30">
        <f t="shared" si="10"/>
        <v>44.403981930608204</v>
      </c>
      <c r="E38" s="30">
        <f t="shared" si="10"/>
        <v>45.698976882814506</v>
      </c>
      <c r="F38" s="7" t="s">
        <v>3</v>
      </c>
    </row>
    <row r="39" spans="1:9" x14ac:dyDescent="0.25">
      <c r="A39" s="5" t="s">
        <v>9</v>
      </c>
      <c r="B39" s="30">
        <f t="shared" ref="B39:E39" si="11">B2*B70/50</f>
        <v>0.79237192346724294</v>
      </c>
      <c r="C39" s="30">
        <f t="shared" si="11"/>
        <v>0.77906752992265904</v>
      </c>
      <c r="D39" s="30">
        <f t="shared" si="11"/>
        <v>1.0088708256860048</v>
      </c>
      <c r="E39" s="30">
        <f t="shared" si="11"/>
        <v>0.99436164924762072</v>
      </c>
      <c r="F39" s="7" t="s">
        <v>3</v>
      </c>
    </row>
    <row r="40" spans="1:9" x14ac:dyDescent="0.25">
      <c r="A40" s="19" t="s">
        <v>136</v>
      </c>
      <c r="B40" s="30">
        <f>(2.57/(2*1.115)+SQRT(2.57^2-4*1.115*(1.367-B28))/(2*1.115))*B33*B48/100</f>
        <v>0.93059338677781733</v>
      </c>
      <c r="C40" s="30">
        <v>0</v>
      </c>
      <c r="D40" s="30">
        <f>((2.57/(2*1.115)+SQRT(2.57^2-4*1.115*(1.367-D33))/(2*1.115))*D33*D48/100)*1.2</f>
        <v>1.3820848288759542</v>
      </c>
      <c r="E40" s="30">
        <v>0</v>
      </c>
      <c r="F40" s="7" t="s">
        <v>3</v>
      </c>
    </row>
    <row r="41" spans="1:9" x14ac:dyDescent="0.25">
      <c r="A41" s="5" t="s">
        <v>10</v>
      </c>
      <c r="B41" s="30">
        <f>B37*((2.57/(2*1.115)+SQRT(2.57^2-4*1.115*(1.367-B33))/(2*1.115))/100+1)*B33</f>
        <v>4.365074240052305</v>
      </c>
      <c r="C41" s="30">
        <f>C33*C37</f>
        <v>2.6651425431062847</v>
      </c>
      <c r="D41" s="30">
        <f>D37*((2.57/(2*1.115)+SQRT(2.57^2-4*1.115*(1.367-D33))/(2*1.115))/100+1)*D33</f>
        <v>6.0256480684251574</v>
      </c>
      <c r="E41" s="30">
        <f>E33*E37</f>
        <v>3.9625901416753821</v>
      </c>
      <c r="F41" s="7" t="s">
        <v>3</v>
      </c>
    </row>
    <row r="42" spans="1:9" x14ac:dyDescent="0.25">
      <c r="A42" s="9" t="s">
        <v>34</v>
      </c>
      <c r="B42" s="30">
        <f>35/104*B5%*B6%*B38-B32*B48</f>
        <v>0</v>
      </c>
      <c r="C42" s="30">
        <f>35/104*C5%*C6%*C38-C32*C48</f>
        <v>0</v>
      </c>
      <c r="D42" s="30">
        <f>35/104*D5%*D6%*D38-D32*D48</f>
        <v>0</v>
      </c>
      <c r="E42" s="30">
        <f>35/104*E5%*E6%*E38-E32*E48</f>
        <v>0</v>
      </c>
      <c r="F42" s="8" t="s">
        <v>3</v>
      </c>
    </row>
    <row r="43" spans="1:9" x14ac:dyDescent="0.25">
      <c r="A43" s="9" t="s">
        <v>35</v>
      </c>
      <c r="B43" s="30">
        <f t="shared" ref="B43:E43" si="12">(B40+B39)/B38%</f>
        <v>4.8547894489683934</v>
      </c>
      <c r="C43" s="30">
        <f t="shared" si="12"/>
        <v>2.1395947555634836</v>
      </c>
      <c r="D43" s="30">
        <f t="shared" si="12"/>
        <v>5.3845523545577443</v>
      </c>
      <c r="E43" s="30">
        <f t="shared" si="12"/>
        <v>2.1758947728686655</v>
      </c>
      <c r="F43" s="8" t="s">
        <v>4</v>
      </c>
    </row>
    <row r="44" spans="1:9" x14ac:dyDescent="0.25">
      <c r="A44" s="5" t="s">
        <v>11</v>
      </c>
      <c r="B44" s="30">
        <f t="shared" ref="B44:E44" si="13">B38/(B38+B41+B40+B39+B42)%</f>
        <v>85.357563744884928</v>
      </c>
      <c r="C44" s="30">
        <f t="shared" si="13"/>
        <v>91.35839312562878</v>
      </c>
      <c r="D44" s="30">
        <f t="shared" si="13"/>
        <v>84.065675117303016</v>
      </c>
      <c r="E44" s="30">
        <f t="shared" si="13"/>
        <v>90.214468630415354</v>
      </c>
      <c r="F44" s="7" t="s">
        <v>4</v>
      </c>
    </row>
    <row r="45" spans="1:9" x14ac:dyDescent="0.25">
      <c r="A45" s="14" t="s">
        <v>22</v>
      </c>
      <c r="B45" s="31">
        <f t="shared" ref="B45:E45" si="14">(B70*B33/B28)/(1-B43%)+B24</f>
        <v>2.2220068579338799</v>
      </c>
      <c r="C45" s="31">
        <f t="shared" si="14"/>
        <v>2.1302521555492691</v>
      </c>
      <c r="D45" s="31">
        <f t="shared" si="14"/>
        <v>2.8357138205026593</v>
      </c>
      <c r="E45" s="31">
        <f t="shared" si="14"/>
        <v>2.7111979157357942</v>
      </c>
      <c r="F45" s="10" t="s">
        <v>1</v>
      </c>
    </row>
    <row r="46" spans="1:9" x14ac:dyDescent="0.25">
      <c r="A46" s="15"/>
      <c r="B46" s="16"/>
      <c r="C46" s="16"/>
      <c r="D46" s="16"/>
      <c r="E46" s="16"/>
      <c r="F46" s="16"/>
    </row>
    <row r="47" spans="1:9" x14ac:dyDescent="0.25">
      <c r="A47" s="3" t="s">
        <v>98</v>
      </c>
      <c r="B47" s="4" t="s">
        <v>130</v>
      </c>
      <c r="C47" s="4" t="s">
        <v>131</v>
      </c>
      <c r="D47" s="4" t="s">
        <v>135</v>
      </c>
      <c r="E47" s="4" t="s">
        <v>134</v>
      </c>
      <c r="F47" s="4" t="s">
        <v>2</v>
      </c>
    </row>
    <row r="48" spans="1:9" x14ac:dyDescent="0.25">
      <c r="A48" s="9" t="s">
        <v>12</v>
      </c>
      <c r="B48" s="30">
        <f t="shared" ref="B48:E48" si="15">B2-B37</f>
        <v>17.915834705882354</v>
      </c>
      <c r="C48" s="30">
        <f t="shared" si="15"/>
        <v>18.695129017301038</v>
      </c>
      <c r="D48" s="30">
        <f t="shared" si="15"/>
        <v>17.605418176470589</v>
      </c>
      <c r="E48" s="30">
        <f t="shared" si="15"/>
        <v>18.383241919031143</v>
      </c>
      <c r="F48" s="7" t="s">
        <v>0</v>
      </c>
      <c r="H48" s="33" t="s">
        <v>266</v>
      </c>
      <c r="I48" s="40" t="e">
        <f>IF(Component=_NCN5120,#REF!,C48)</f>
        <v>#NAME?</v>
      </c>
    </row>
    <row r="49" spans="1:11" x14ac:dyDescent="0.25">
      <c r="A49" s="19" t="s">
        <v>96</v>
      </c>
      <c r="B49" s="30">
        <f t="shared" ref="B49:E49" si="16">B21+B3</f>
        <v>4.915</v>
      </c>
      <c r="C49" s="30">
        <f t="shared" si="16"/>
        <v>4.915</v>
      </c>
      <c r="D49" s="30">
        <f t="shared" si="16"/>
        <v>5.9</v>
      </c>
      <c r="E49" s="30">
        <f t="shared" si="16"/>
        <v>5.9</v>
      </c>
      <c r="F49" s="7" t="s">
        <v>1</v>
      </c>
    </row>
    <row r="50" spans="1:11" x14ac:dyDescent="0.25">
      <c r="A50" s="19" t="s">
        <v>107</v>
      </c>
      <c r="B50" s="30">
        <f t="shared" ref="B50:E50" si="17">(B48-3.3)/B8/0.000001/B48*3.3*0.004</f>
        <v>107.68631285390357</v>
      </c>
      <c r="C50" s="30">
        <f t="shared" si="17"/>
        <v>108.69981311191366</v>
      </c>
      <c r="D50" s="30">
        <f t="shared" si="17"/>
        <v>107.25761696577172</v>
      </c>
      <c r="E50" s="30">
        <f t="shared" si="17"/>
        <v>108.30450592346023</v>
      </c>
      <c r="F50" s="7" t="s">
        <v>1</v>
      </c>
    </row>
    <row r="51" spans="1:11" x14ac:dyDescent="0.25">
      <c r="A51" s="19" t="s">
        <v>108</v>
      </c>
      <c r="B51" s="30">
        <f t="shared" ref="B51:E51" si="18">1000*SQRT(2*B49*1000/B8*(B48-3.3)*3.3/B48*0.000004)</f>
        <v>32.535464578731187</v>
      </c>
      <c r="C51" s="30">
        <f t="shared" si="18"/>
        <v>32.688211374899531</v>
      </c>
      <c r="D51" s="30">
        <f t="shared" si="18"/>
        <v>35.575832810998349</v>
      </c>
      <c r="E51" s="30">
        <f t="shared" si="18"/>
        <v>35.749030335057064</v>
      </c>
      <c r="F51" s="7" t="s">
        <v>1</v>
      </c>
    </row>
    <row r="52" spans="1:11" x14ac:dyDescent="0.25">
      <c r="A52" s="5" t="s">
        <v>109</v>
      </c>
      <c r="B52" s="30">
        <f t="shared" ref="B52:E52" si="19">IF(B50&gt;2*B49,SQRT(2/3*B49*B51),SQRT(B49^2+B50^2/12))</f>
        <v>10.325108826043556</v>
      </c>
      <c r="C52" s="30">
        <f t="shared" si="19"/>
        <v>10.349317494650913</v>
      </c>
      <c r="D52" s="30">
        <f t="shared" si="19"/>
        <v>11.829269168321156</v>
      </c>
      <c r="E52" s="30">
        <f t="shared" si="19"/>
        <v>11.858029037374823</v>
      </c>
      <c r="F52" s="7" t="s">
        <v>1</v>
      </c>
    </row>
    <row r="53" spans="1:11" x14ac:dyDescent="0.25">
      <c r="A53" s="5" t="s">
        <v>110</v>
      </c>
      <c r="B53" s="30">
        <f t="shared" ref="B53:E53" si="20">B7*B52^2/1000</f>
        <v>0.28251086151455268</v>
      </c>
      <c r="C53" s="30">
        <f t="shared" si="20"/>
        <v>0.28383718740348174</v>
      </c>
      <c r="D53" s="30">
        <f t="shared" si="20"/>
        <v>0.37081876399997271</v>
      </c>
      <c r="E53" s="30">
        <f t="shared" si="20"/>
        <v>0.37262405952574484</v>
      </c>
      <c r="F53" s="7" t="s">
        <v>3</v>
      </c>
    </row>
    <row r="54" spans="1:11" x14ac:dyDescent="0.25">
      <c r="A54" s="5" t="s">
        <v>111</v>
      </c>
      <c r="B54" s="30">
        <f>Basic!C18*B52^2/1000</f>
        <v>0.10660787226964252</v>
      </c>
      <c r="C54" s="30">
        <f>Basic!C18*C52^2/1000</f>
        <v>0.10710837260508746</v>
      </c>
      <c r="D54" s="30">
        <f>Basic!C18*D52^2/1000</f>
        <v>0.13993160905659349</v>
      </c>
      <c r="E54" s="30">
        <f>Basic!C18*E52^2/1000</f>
        <v>0.14061285265122447</v>
      </c>
      <c r="F54" s="7" t="s">
        <v>3</v>
      </c>
    </row>
    <row r="55" spans="1:11" x14ac:dyDescent="0.25">
      <c r="A55" s="5" t="s">
        <v>114</v>
      </c>
      <c r="B55" s="30">
        <f>IF(B49&gt;B50/2,4.5*3.3/(B48)*B52^2/1000+1.55*(B48-3.3)/B48*B52^2/1000+(B49-B50/2)*B48^2/(900000000)+(B49+B50/2)*B48^2/(1200000000)/0.000004,4.5*(B51/1000)^3/3*B8*0.000001/(B48-3.3)/0.000004*1000+1.55*(B51/1000)^3/3*B8*0.000001/(3.3)/0.000004*1000+B51*B48^2/(1200000000)*1/0.000004)</f>
        <v>2.3988243528570043</v>
      </c>
      <c r="C55" s="30">
        <f>IF(C49&gt;C50/2,4.5*3.3/(C48)*C52^2/1000+1.55*(C48-3.3)/C48*C52^2/1000+(C49-C50/2)*C48^2/(900000000)+(C49+C50/2)*C48^2/(1200000000)/0.000004,4.5*(C51/1000)^3/3*C8*0.000001/(C48-3.3)/0.000004*1000+1.55*(C51/1000)^3/3*C8*0.000001/(3.3)/0.000004*1000+C51*C48^2/(1200000000)*1/0.000004)</f>
        <v>2.6019557068098367</v>
      </c>
      <c r="D55" s="30">
        <f>IF(D49&gt;D50/2,1.2*5.6*3.3/(D48)*D52^2/1000+1.2*2.1*(D48-3.3)/D48*D52^2/1000+2*(D49-D50/2)*D48^2/(900000000)+2*(D49+D50/2)*D48^2/(1200000000)/0.000004,1.2*5.6*(D51/1000)^3/3*D8*0.000001/(D48-3.3)/0.000004*1000+1.2*2.1*(D51/1000)^3/3*D8*0.000001/(3.3)/0.000004*1000+2*D51*D48^2/(1200000000)*1/0.000004)</f>
        <v>5.0572715634339866</v>
      </c>
      <c r="E55" s="30">
        <f>IF(E49&gt;E50/2,1.2*5.6*3.3/(E48)*E52^2/1000+1.2*2.1*(E48-3.3)/E48*E52^2/1000+2*(E49-E50/2)*E48^2/(900000000)+2*(E49+E50/2)*E48^2/(1200000000)/0.000004,1.2*5.6*(E51/1000)^3/3*E8*0.000001/(E48-3.3)/0.000004*1000+1.2*2.1*(E51/1000)^3/3*E8*0.000001/(3.3)/0.000004*1000+2*E51*E48^2/(1200000000)*1/0.000004)</f>
        <v>5.4941738597032677</v>
      </c>
      <c r="F55" s="7" t="s">
        <v>3</v>
      </c>
    </row>
    <row r="56" spans="1:11" x14ac:dyDescent="0.25">
      <c r="A56" s="28" t="s">
        <v>99</v>
      </c>
      <c r="B56" s="30">
        <f t="shared" ref="B56:E56" si="21">3.3*B49/(B55+B54+B53+3.3*B49)%</f>
        <v>85.332361254835902</v>
      </c>
      <c r="C56" s="30">
        <f t="shared" si="21"/>
        <v>84.422034365962233</v>
      </c>
      <c r="D56" s="30">
        <f t="shared" si="21"/>
        <v>77.76173393164224</v>
      </c>
      <c r="E56" s="30">
        <f t="shared" si="21"/>
        <v>76.420638558331447</v>
      </c>
      <c r="F56" s="7" t="s">
        <v>4</v>
      </c>
    </row>
    <row r="57" spans="1:11" x14ac:dyDescent="0.25">
      <c r="A57" s="5" t="s">
        <v>15</v>
      </c>
      <c r="B57" s="30">
        <f t="shared" ref="B57:E57" si="22">3.3*B49/B56%/B48</f>
        <v>1.0609298086681072</v>
      </c>
      <c r="C57" s="30">
        <f t="shared" si="22"/>
        <v>1.0276688248066475</v>
      </c>
      <c r="D57" s="30">
        <f t="shared" si="22"/>
        <v>1.4221770642150118</v>
      </c>
      <c r="E57" s="30">
        <f t="shared" si="22"/>
        <v>1.3859041231190512</v>
      </c>
      <c r="F57" s="7" t="s">
        <v>1</v>
      </c>
    </row>
    <row r="59" spans="1:11" x14ac:dyDescent="0.25">
      <c r="A59" s="3" t="s">
        <v>100</v>
      </c>
      <c r="B59" s="4" t="s">
        <v>130</v>
      </c>
      <c r="C59" s="4" t="s">
        <v>131</v>
      </c>
      <c r="D59" s="4" t="s">
        <v>135</v>
      </c>
      <c r="E59" s="4" t="s">
        <v>134</v>
      </c>
      <c r="F59" s="4" t="s">
        <v>2</v>
      </c>
    </row>
    <row r="60" spans="1:11" x14ac:dyDescent="0.25">
      <c r="A60" s="9" t="s">
        <v>12</v>
      </c>
      <c r="B60" s="30">
        <f t="shared" ref="B60:E60" si="23">B2-B37</f>
        <v>17.915834705882354</v>
      </c>
      <c r="C60" s="30">
        <f t="shared" si="23"/>
        <v>18.695129017301038</v>
      </c>
      <c r="D60" s="30">
        <f t="shared" si="23"/>
        <v>17.605418176470589</v>
      </c>
      <c r="E60" s="30">
        <f t="shared" si="23"/>
        <v>18.383241919031143</v>
      </c>
      <c r="F60" s="7" t="s">
        <v>0</v>
      </c>
    </row>
    <row r="61" spans="1:11" x14ac:dyDescent="0.25">
      <c r="A61" s="19" t="s">
        <v>101</v>
      </c>
      <c r="B61" s="30">
        <f t="shared" ref="B61:E61" si="24">(B22+B4)*B15</f>
        <v>0</v>
      </c>
      <c r="C61" s="30">
        <f t="shared" si="24"/>
        <v>0</v>
      </c>
      <c r="D61" s="30">
        <f t="shared" si="24"/>
        <v>0</v>
      </c>
      <c r="E61" s="30">
        <f t="shared" si="24"/>
        <v>0</v>
      </c>
      <c r="F61" s="7" t="s">
        <v>1</v>
      </c>
    </row>
    <row r="62" spans="1:11" x14ac:dyDescent="0.25">
      <c r="A62" s="19" t="s">
        <v>116</v>
      </c>
      <c r="B62" s="30">
        <f t="shared" ref="B62:D62" si="25">(B60-B16)/B8/0.000001/B60*B16*0.004</f>
        <v>0</v>
      </c>
      <c r="C62" s="30">
        <f>(C60-C16)/Basic!C26/0.000001/C60*C16*0.004</f>
        <v>0</v>
      </c>
      <c r="D62" s="30">
        <f t="shared" si="25"/>
        <v>0</v>
      </c>
      <c r="E62" s="30">
        <f>(E60-E16)/Basic!C26/0.000001/E60*E16*0.004</f>
        <v>0</v>
      </c>
      <c r="F62" s="7" t="s">
        <v>1</v>
      </c>
      <c r="J62" s="33" t="s">
        <v>444</v>
      </c>
      <c r="K62">
        <v>3</v>
      </c>
    </row>
    <row r="63" spans="1:11" x14ac:dyDescent="0.25">
      <c r="A63" s="19" t="s">
        <v>117</v>
      </c>
      <c r="B63" s="30">
        <f t="shared" ref="B63:D63" si="26">1000*SQRT(2*B61*1000/B8*(B60-B16)*B16/B60*0.000004)</f>
        <v>0</v>
      </c>
      <c r="C63" s="30">
        <f>1000*SQRT(2*C61*1000/Basic!C26*(C60-C16)*C16/C60*0.000004)</f>
        <v>0</v>
      </c>
      <c r="D63" s="30">
        <f t="shared" si="26"/>
        <v>0</v>
      </c>
      <c r="E63" s="30">
        <f>1000*SQRT(2*E61*1000/Basic!C26*(E60-E16)*E16/E60*0.000004)</f>
        <v>0</v>
      </c>
      <c r="F63" s="7" t="s">
        <v>1</v>
      </c>
      <c r="J63" s="33" t="s">
        <v>256</v>
      </c>
      <c r="K63">
        <v>1</v>
      </c>
    </row>
    <row r="64" spans="1:11" x14ac:dyDescent="0.25">
      <c r="A64" s="5" t="s">
        <v>118</v>
      </c>
      <c r="B64" s="30">
        <f t="shared" ref="B64:E64" si="27">IF(B62&gt;2*B61,SQRT(2/3*B61*B63),SQRT(B61^2+B62^2/12))</f>
        <v>0</v>
      </c>
      <c r="C64" s="30">
        <f t="shared" si="27"/>
        <v>0</v>
      </c>
      <c r="D64" s="30">
        <f t="shared" si="27"/>
        <v>0</v>
      </c>
      <c r="E64" s="30">
        <f t="shared" si="27"/>
        <v>0</v>
      </c>
      <c r="F64" s="7" t="s">
        <v>1</v>
      </c>
      <c r="J64" s="33" t="s">
        <v>249</v>
      </c>
      <c r="K64">
        <v>2</v>
      </c>
    </row>
    <row r="65" spans="1:9" x14ac:dyDescent="0.25">
      <c r="A65" s="5" t="s">
        <v>112</v>
      </c>
      <c r="B65" s="30">
        <f t="shared" ref="B65:D65" si="28">B7*B64^2/1000</f>
        <v>0</v>
      </c>
      <c r="C65" s="30">
        <f>Basic!C27*C64^2/1000</f>
        <v>0</v>
      </c>
      <c r="D65" s="30">
        <f t="shared" si="28"/>
        <v>0</v>
      </c>
      <c r="E65" s="30">
        <f>Basic!C27*E64^2/1000</f>
        <v>0</v>
      </c>
      <c r="F65" s="7" t="s">
        <v>3</v>
      </c>
    </row>
    <row r="66" spans="1:9" x14ac:dyDescent="0.25">
      <c r="A66" s="5" t="s">
        <v>113</v>
      </c>
      <c r="B66" s="30">
        <f t="shared" ref="B66:D66" si="29">1*B64^2/1000</f>
        <v>0</v>
      </c>
      <c r="C66" s="30">
        <f>Basic!C25*C64^2/1000</f>
        <v>0</v>
      </c>
      <c r="D66" s="30">
        <f t="shared" si="29"/>
        <v>0</v>
      </c>
      <c r="E66" s="30">
        <f>Basic!C25*E64^2/1000</f>
        <v>0</v>
      </c>
      <c r="F66" s="7" t="s">
        <v>3</v>
      </c>
    </row>
    <row r="67" spans="1:9" x14ac:dyDescent="0.25">
      <c r="A67" s="5" t="s">
        <v>115</v>
      </c>
      <c r="B67" s="30" t="e">
        <f>IF(B61&gt;B62/2,4.5*B16/(B60)*B64^2/1000+1.55*(B60-B16)/B60*B64^2/1000+(B61-B62/2)*B60^2/(900000000)+(B61+B62/2)*B60^2/(1200000000)/0.000004,4.5*(B63/1000)^3/3*B8*0.000001/(B60-B16)/0.000004*1000+1.55*(B63/1000)^3/3*B8*0.000001/(B16)/0.000004*1000+B63*B60^2/(1200000000)*1/0.000004)</f>
        <v>#DIV/0!</v>
      </c>
      <c r="C67" s="30" t="e">
        <f>IF(C61&gt;C62/2,4.5*C16/(C60)*C64^2/1000+1.55*(C60-C16)/C60*C64^2/1000+(C61-C62/2)*C60^2/(900000000)+(C61+C62/2)*C60^2/(1200000000)/0.000004,4.5*(C63/1000)^3/3*Basic!C26*0.000001/(C60-C16)/0.000004*1000+1.55*(C63/1000)^3/3*Basic!C26*0.000001/(C16)/0.000004*1000+C63*C60^2/(1200000000)*1/0.000004)</f>
        <v>#DIV/0!</v>
      </c>
      <c r="D67" s="30" t="e">
        <f>IF(D61&gt;D62/2,1.2*5.6*D16/(D60)*D64^2/1000+1.2*2.1*(D60-D16)/D60*D64^2/1000+(D61-D62/2)*2*D60^2/(900000000)+2*(D61+D62/2)*D60^2/(1200000000)/0.000004,1.2*5.6*(D63/1000)^3/3*D8*0.000001/(D60-D16)/0.000004*1000+1.2*2.1*(D63/1000)^3/3*D8*0.000001/(D16)/0.000004*1000+2*D63*D60^2/(1200000000)*1/0.000004)</f>
        <v>#DIV/0!</v>
      </c>
      <c r="E67" s="30" t="e">
        <f>IF(E61&gt;E62/2,1.2*5.6*E16/(E60)*E64^2/1000+1.2*2.1*(E60-E16)/E60*E64^2/1000+(E61-E62/2)*2*E60^2/(900000000)+2*(E61+E62/2)*E60^2/(1200000000)/0.000004,1.2*5.6*(E63/1000)^3/3*Basic!C26*0.000001/(E60-E16)/0.000004*1000+1.2*2.1*(E63/1000)^3/3*Basic!C26*0.000001/(E16)/0.000004*1000+2*E63*E60^2/(1200000000)*1/0.000004)</f>
        <v>#DIV/0!</v>
      </c>
      <c r="F67" s="7" t="s">
        <v>3</v>
      </c>
    </row>
    <row r="68" spans="1:9" x14ac:dyDescent="0.25">
      <c r="A68" s="28" t="s">
        <v>102</v>
      </c>
      <c r="B68" s="30">
        <f t="shared" ref="B68:E68" si="30">IF(B15=1,B16*B61/(B67+B66+B65+B16*B61)%,100)</f>
        <v>100</v>
      </c>
      <c r="C68" s="30">
        <f t="shared" si="30"/>
        <v>100</v>
      </c>
      <c r="D68" s="30">
        <f t="shared" si="30"/>
        <v>100</v>
      </c>
      <c r="E68" s="30">
        <f t="shared" si="30"/>
        <v>100</v>
      </c>
      <c r="F68" s="7" t="s">
        <v>4</v>
      </c>
    </row>
    <row r="69" spans="1:9" x14ac:dyDescent="0.25">
      <c r="A69" s="5" t="s">
        <v>15</v>
      </c>
      <c r="B69" s="30">
        <f t="shared" ref="B69:E69" si="31">B16*B61/B68%/B60</f>
        <v>0</v>
      </c>
      <c r="C69" s="30">
        <f t="shared" si="31"/>
        <v>0</v>
      </c>
      <c r="D69" s="30">
        <f t="shared" si="31"/>
        <v>0</v>
      </c>
      <c r="E69" s="30">
        <f t="shared" si="31"/>
        <v>0</v>
      </c>
      <c r="F69" s="7" t="s">
        <v>1</v>
      </c>
    </row>
    <row r="70" spans="1:9" x14ac:dyDescent="0.25">
      <c r="A70" s="18" t="s">
        <v>36</v>
      </c>
      <c r="B70" s="30">
        <f t="shared" ref="B70:E70" si="32">B57+B23+B69</f>
        <v>1.9809298086681073</v>
      </c>
      <c r="C70" s="30">
        <f t="shared" si="32"/>
        <v>1.9476688248066476</v>
      </c>
      <c r="D70" s="30">
        <f t="shared" si="32"/>
        <v>2.5221770642150121</v>
      </c>
      <c r="E70" s="30">
        <f t="shared" si="32"/>
        <v>2.4859041231190515</v>
      </c>
      <c r="F70" s="8" t="s">
        <v>1</v>
      </c>
    </row>
    <row r="72" spans="1:9" x14ac:dyDescent="0.25">
      <c r="A72" s="3" t="s">
        <v>24</v>
      </c>
      <c r="B72" s="4" t="s">
        <v>130</v>
      </c>
      <c r="C72" s="4" t="s">
        <v>131</v>
      </c>
      <c r="D72" s="4" t="s">
        <v>135</v>
      </c>
      <c r="E72" s="4" t="s">
        <v>134</v>
      </c>
      <c r="F72" s="4" t="s">
        <v>2</v>
      </c>
      <c r="I72" s="73" t="s">
        <v>248</v>
      </c>
    </row>
    <row r="73" spans="1:9" x14ac:dyDescent="0.25">
      <c r="A73" s="5" t="s">
        <v>25</v>
      </c>
      <c r="B73" s="30">
        <f t="shared" ref="B73:E73" si="33">B45</f>
        <v>2.2220068579338799</v>
      </c>
      <c r="C73" s="30">
        <f t="shared" si="33"/>
        <v>2.1302521555492691</v>
      </c>
      <c r="D73" s="30">
        <f t="shared" si="33"/>
        <v>2.8357138205026593</v>
      </c>
      <c r="E73" s="30">
        <f t="shared" si="33"/>
        <v>2.7111979157357942</v>
      </c>
      <c r="F73" s="7" t="s">
        <v>1</v>
      </c>
      <c r="I73" s="74">
        <f t="shared" ref="I73:I83" si="34">C73</f>
        <v>2.1302521555492691</v>
      </c>
    </row>
    <row r="74" spans="1:9" x14ac:dyDescent="0.25">
      <c r="A74" s="5" t="s">
        <v>120</v>
      </c>
      <c r="B74" s="30">
        <f t="shared" ref="B74:E74" si="35">B70</f>
        <v>1.9809298086681073</v>
      </c>
      <c r="C74" s="30">
        <f t="shared" si="35"/>
        <v>1.9476688248066476</v>
      </c>
      <c r="D74" s="30">
        <f t="shared" si="35"/>
        <v>2.5221770642150121</v>
      </c>
      <c r="E74" s="30">
        <f t="shared" si="35"/>
        <v>2.4859041231190515</v>
      </c>
      <c r="F74" s="7" t="s">
        <v>1</v>
      </c>
      <c r="I74" s="74">
        <f t="shared" si="34"/>
        <v>1.9476688248066476</v>
      </c>
    </row>
    <row r="75" spans="1:9" x14ac:dyDescent="0.25">
      <c r="A75" s="19" t="s">
        <v>103</v>
      </c>
      <c r="B75" s="30">
        <f t="shared" ref="B75:E75" si="36">B37</f>
        <v>2.0841652941176472</v>
      </c>
      <c r="C75" s="30">
        <f t="shared" si="36"/>
        <v>1.304870982698962</v>
      </c>
      <c r="D75" s="30">
        <f t="shared" si="36"/>
        <v>2.3945818235294114</v>
      </c>
      <c r="E75" s="30">
        <f t="shared" si="36"/>
        <v>1.6167580809688582</v>
      </c>
      <c r="F75" s="20" t="s">
        <v>0</v>
      </c>
      <c r="I75" s="74">
        <f t="shared" si="34"/>
        <v>1.304870982698962</v>
      </c>
    </row>
    <row r="76" spans="1:9" x14ac:dyDescent="0.25">
      <c r="A76" s="5" t="s">
        <v>26</v>
      </c>
      <c r="B76" s="30">
        <f t="shared" ref="B76:E76" si="37">B73*B2</f>
        <v>44.440137158677601</v>
      </c>
      <c r="C76" s="30">
        <f t="shared" si="37"/>
        <v>42.605043110985378</v>
      </c>
      <c r="D76" s="30">
        <f t="shared" si="37"/>
        <v>56.714276410053188</v>
      </c>
      <c r="E76" s="30">
        <f t="shared" si="37"/>
        <v>54.223958314715887</v>
      </c>
      <c r="F76" s="7" t="s">
        <v>3</v>
      </c>
      <c r="I76" s="74">
        <f t="shared" si="34"/>
        <v>42.605043110985378</v>
      </c>
    </row>
    <row r="77" spans="1:9" x14ac:dyDescent="0.25">
      <c r="A77" s="9" t="s">
        <v>29</v>
      </c>
      <c r="B77" s="30">
        <f t="shared" ref="B77:E77" si="38">B2*B26+B42</f>
        <v>45.716101176470588</v>
      </c>
      <c r="C77" s="30">
        <f t="shared" si="38"/>
        <v>45.716101176470588</v>
      </c>
      <c r="D77" s="30">
        <f t="shared" si="38"/>
        <v>57.320858131487888</v>
      </c>
      <c r="E77" s="30">
        <f t="shared" si="38"/>
        <v>57.320858131487888</v>
      </c>
      <c r="F77" s="8" t="s">
        <v>3</v>
      </c>
      <c r="I77" s="74">
        <f t="shared" si="34"/>
        <v>45.716101176470588</v>
      </c>
    </row>
    <row r="78" spans="1:9" x14ac:dyDescent="0.25">
      <c r="A78" s="5" t="s">
        <v>27</v>
      </c>
      <c r="B78" s="30">
        <f t="shared" ref="B78:E78" si="39">B3*3.3+B4*B16</f>
        <v>0</v>
      </c>
      <c r="C78" s="30">
        <f t="shared" si="39"/>
        <v>0</v>
      </c>
      <c r="D78" s="30">
        <f t="shared" si="39"/>
        <v>0</v>
      </c>
      <c r="E78" s="30">
        <f t="shared" si="39"/>
        <v>0</v>
      </c>
      <c r="F78" s="7" t="s">
        <v>3</v>
      </c>
      <c r="I78" s="74">
        <f t="shared" si="34"/>
        <v>0</v>
      </c>
    </row>
    <row r="79" spans="1:9" x14ac:dyDescent="0.25">
      <c r="A79" s="9" t="s">
        <v>28</v>
      </c>
      <c r="B79" s="30">
        <f>'Overall efficiency (2)'!B44</f>
        <v>85.357563744884928</v>
      </c>
      <c r="C79" s="30">
        <f>'Overall efficiency (2)'!C44</f>
        <v>91.35839312562878</v>
      </c>
      <c r="D79" s="30">
        <f>'Overall efficiency (2)'!D44</f>
        <v>84.065675117303016</v>
      </c>
      <c r="E79" s="30">
        <f>'Overall efficiency (2)'!E44</f>
        <v>90.214468630415354</v>
      </c>
      <c r="F79" s="8" t="s">
        <v>4</v>
      </c>
      <c r="I79" s="74">
        <f t="shared" si="34"/>
        <v>91.35839312562878</v>
      </c>
    </row>
    <row r="80" spans="1:9" x14ac:dyDescent="0.25">
      <c r="A80" s="19" t="s">
        <v>99</v>
      </c>
      <c r="B80" s="30">
        <f t="shared" ref="B80:E80" si="40">B56</f>
        <v>85.332361254835902</v>
      </c>
      <c r="C80" s="30">
        <f t="shared" si="40"/>
        <v>84.422034365962233</v>
      </c>
      <c r="D80" s="30">
        <f t="shared" si="40"/>
        <v>77.76173393164224</v>
      </c>
      <c r="E80" s="30">
        <f t="shared" si="40"/>
        <v>76.420638558331447</v>
      </c>
      <c r="F80" s="8" t="s">
        <v>4</v>
      </c>
      <c r="I80" s="74">
        <f t="shared" si="34"/>
        <v>84.422034365962233</v>
      </c>
    </row>
    <row r="81" spans="1:16" x14ac:dyDescent="0.25">
      <c r="A81" s="19" t="s">
        <v>102</v>
      </c>
      <c r="B81" s="30">
        <f t="shared" ref="B81:E81" si="41">B68</f>
        <v>100</v>
      </c>
      <c r="C81" s="30">
        <f t="shared" si="41"/>
        <v>100</v>
      </c>
      <c r="D81" s="30">
        <f t="shared" si="41"/>
        <v>100</v>
      </c>
      <c r="E81" s="30">
        <f t="shared" si="41"/>
        <v>100</v>
      </c>
      <c r="F81" s="20" t="s">
        <v>4</v>
      </c>
      <c r="I81" s="74">
        <f t="shared" si="34"/>
        <v>100</v>
      </c>
    </row>
    <row r="82" spans="1:16" x14ac:dyDescent="0.25">
      <c r="A82" s="19" t="s">
        <v>119</v>
      </c>
      <c r="B82" s="30">
        <f t="shared" ref="B82:E82" si="42">B79*B80%</f>
        <v>72.837624653112044</v>
      </c>
      <c r="C82" s="30">
        <f t="shared" si="42"/>
        <v>77.1266140407092</v>
      </c>
      <c r="D82" s="30">
        <f t="shared" si="42"/>
        <v>65.370926612555948</v>
      </c>
      <c r="E82" s="30">
        <f t="shared" si="42"/>
        <v>68.942472999369016</v>
      </c>
      <c r="F82" s="8" t="s">
        <v>4</v>
      </c>
      <c r="I82" s="74">
        <f t="shared" si="34"/>
        <v>77.1266140407092</v>
      </c>
    </row>
    <row r="83" spans="1:16" x14ac:dyDescent="0.25">
      <c r="A83" s="9" t="s">
        <v>37</v>
      </c>
      <c r="B83" s="34">
        <f t="shared" ref="B83:E83" si="43">B78/B76%</f>
        <v>0</v>
      </c>
      <c r="C83" s="34">
        <f t="shared" si="43"/>
        <v>0</v>
      </c>
      <c r="D83" s="30">
        <f t="shared" si="43"/>
        <v>0</v>
      </c>
      <c r="E83" s="30">
        <f t="shared" si="43"/>
        <v>0</v>
      </c>
      <c r="F83" s="7" t="s">
        <v>4</v>
      </c>
      <c r="I83" s="74">
        <f t="shared" si="34"/>
        <v>0</v>
      </c>
    </row>
    <row r="85" spans="1:16" x14ac:dyDescent="0.25">
      <c r="C85" s="39"/>
      <c r="N85" s="33"/>
      <c r="O85" s="33"/>
      <c r="P85" s="33"/>
    </row>
  </sheetData>
  <conditionalFormatting sqref="B73:C75 D74:E75">
    <cfRule type="cellIs" dxfId="20" priority="3" stopIfTrue="1" operator="greaterThan">
      <formula>#REF!*12</formula>
    </cfRule>
  </conditionalFormatting>
  <conditionalFormatting sqref="D73:E75">
    <cfRule type="cellIs" dxfId="19" priority="30" stopIfTrue="1" operator="greaterThan">
      <formula>#REF!*12</formula>
    </cfRule>
  </conditionalFormatting>
  <pageMargins left="0.75" right="0.75" top="1" bottom="1" header="0.5" footer="0.5"/>
  <pageSetup paperSize="9" orientation="portrait" r:id="rId1"/>
  <headerFooter alignWithMargins="0"/>
  <extLst>
    <ext xmlns:x14="http://schemas.microsoft.com/office/spreadsheetml/2009/9/main" uri="{78C0D931-6437-407d-A8EE-F0AAD7539E65}">
      <x14:conditionalFormattings>
        <x14:conditionalFormatting xmlns:xm="http://schemas.microsoft.com/office/excel/2006/main">
          <x14:cfRule type="expression" priority="1" id="{043D2F01-7653-4C0B-B6C8-31CE22628DB4}">
            <xm:f>(Basic!$C$22+1)&gt;#REF!</xm:f>
            <x14:dxf/>
          </x14:cfRule>
          <xm:sqref>D22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53"/>
  <sheetViews>
    <sheetView workbookViewId="0">
      <selection activeCell="H18" sqref="H18"/>
    </sheetView>
  </sheetViews>
  <sheetFormatPr defaultRowHeight="13.2" x14ac:dyDescent="0.25"/>
  <cols>
    <col min="1" max="1" width="15" customWidth="1"/>
    <col min="8" max="8" width="14.109375" customWidth="1"/>
  </cols>
  <sheetData>
    <row r="1" spans="1:4" ht="14.4" x14ac:dyDescent="0.3">
      <c r="A1" s="21" t="s">
        <v>39</v>
      </c>
      <c r="B1">
        <f>'Overall efficiency'!B2</f>
        <v>20</v>
      </c>
      <c r="C1" t="s">
        <v>0</v>
      </c>
    </row>
    <row r="2" spans="1:4" ht="14.4" x14ac:dyDescent="0.3">
      <c r="A2" s="21" t="s">
        <v>40</v>
      </c>
      <c r="B2" s="40">
        <f>B1-3</f>
        <v>17</v>
      </c>
      <c r="C2" t="s">
        <v>0</v>
      </c>
    </row>
    <row r="3" spans="1:4" ht="14.4" x14ac:dyDescent="0.3">
      <c r="A3" s="21" t="s">
        <v>41</v>
      </c>
      <c r="B3">
        <f>'Overall efficiency'!B16</f>
        <v>0</v>
      </c>
      <c r="C3" t="s">
        <v>0</v>
      </c>
    </row>
    <row r="4" spans="1:4" ht="14.4" x14ac:dyDescent="0.3">
      <c r="A4" s="21" t="s">
        <v>8</v>
      </c>
      <c r="B4">
        <f>'Overall efficiency'!B11</f>
        <v>1.029023746701847</v>
      </c>
    </row>
    <row r="5" spans="1:4" ht="14.4" x14ac:dyDescent="0.3">
      <c r="A5" s="21" t="s">
        <v>42</v>
      </c>
      <c r="B5">
        <f>'Overall efficiency'!B15</f>
        <v>0</v>
      </c>
      <c r="D5" t="s">
        <v>43</v>
      </c>
    </row>
    <row r="6" spans="1:4" ht="14.4" x14ac:dyDescent="0.3">
      <c r="A6" s="21" t="s">
        <v>44</v>
      </c>
      <c r="B6">
        <f>'Overall efficiency'!B14</f>
        <v>0</v>
      </c>
      <c r="D6" t="s">
        <v>43</v>
      </c>
    </row>
    <row r="7" spans="1:4" ht="14.4" x14ac:dyDescent="0.3">
      <c r="A7" s="21" t="s">
        <v>45</v>
      </c>
      <c r="B7">
        <f>'Overall efficiency'!B13</f>
        <v>0</v>
      </c>
      <c r="D7" t="s">
        <v>43</v>
      </c>
    </row>
    <row r="8" spans="1:4" ht="14.4" x14ac:dyDescent="0.3">
      <c r="A8" s="21" t="s">
        <v>104</v>
      </c>
      <c r="B8">
        <v>1</v>
      </c>
    </row>
    <row r="11" spans="1:4" ht="14.4" x14ac:dyDescent="0.3">
      <c r="A11" s="21" t="s">
        <v>46</v>
      </c>
      <c r="B11" s="21" t="s">
        <v>47</v>
      </c>
      <c r="C11" s="22" t="s">
        <v>132</v>
      </c>
      <c r="D11" s="22" t="s">
        <v>133</v>
      </c>
    </row>
    <row r="12" spans="1:4" x14ac:dyDescent="0.25">
      <c r="A12" t="s">
        <v>121</v>
      </c>
      <c r="B12" s="23" t="s">
        <v>0</v>
      </c>
      <c r="C12">
        <v>2.1920000000000002</v>
      </c>
    </row>
    <row r="13" spans="1:4" x14ac:dyDescent="0.25">
      <c r="A13" s="33" t="s">
        <v>122</v>
      </c>
      <c r="B13" s="23" t="s">
        <v>0</v>
      </c>
      <c r="C13">
        <v>2.8639999999999999</v>
      </c>
    </row>
    <row r="14" spans="1:4" x14ac:dyDescent="0.25">
      <c r="A14" t="s">
        <v>49</v>
      </c>
      <c r="B14" t="s">
        <v>0</v>
      </c>
      <c r="C14">
        <v>1.98</v>
      </c>
      <c r="D14">
        <v>1.1859999999999999</v>
      </c>
    </row>
    <row r="15" spans="1:4" x14ac:dyDescent="0.25">
      <c r="A15" t="s">
        <v>50</v>
      </c>
      <c r="B15" t="s">
        <v>51</v>
      </c>
      <c r="C15">
        <v>51</v>
      </c>
      <c r="D15">
        <v>58.2</v>
      </c>
    </row>
    <row r="18" spans="1:6" ht="14.4" x14ac:dyDescent="0.3">
      <c r="A18" s="22" t="s">
        <v>48</v>
      </c>
      <c r="B18" s="24">
        <f>(C18+D18)*1.1+B20</f>
        <v>2234.4116639182043</v>
      </c>
      <c r="C18">
        <f>C20+F20</f>
        <v>836.43568892078383</v>
      </c>
      <c r="D18">
        <f>(D20+E20)*3.3/B2/0.85</f>
        <v>1077.1245674740485</v>
      </c>
    </row>
    <row r="19" spans="1:6" ht="14.4" x14ac:dyDescent="0.3">
      <c r="A19" s="21" t="s">
        <v>52</v>
      </c>
      <c r="B19" s="21" t="s">
        <v>39</v>
      </c>
      <c r="C19" s="21" t="s">
        <v>40</v>
      </c>
      <c r="D19" s="21" t="s">
        <v>53</v>
      </c>
      <c r="E19" s="21" t="s">
        <v>41</v>
      </c>
      <c r="F19" s="21" t="s">
        <v>54</v>
      </c>
    </row>
    <row r="20" spans="1:6" ht="14.4" x14ac:dyDescent="0.3">
      <c r="A20" s="25" t="s">
        <v>55</v>
      </c>
      <c r="B20" s="25">
        <f>SUM(B21:B53)</f>
        <v>129.49538188388857</v>
      </c>
      <c r="C20" s="25">
        <f>SUM(C21:C53)</f>
        <v>358.39611108437214</v>
      </c>
      <c r="D20" s="25">
        <f>SUM(D21:D53)</f>
        <v>4716.5</v>
      </c>
      <c r="E20" s="25">
        <f>SUM(E21:E53)</f>
        <v>0</v>
      </c>
      <c r="F20" s="25">
        <f>SUM(F21:F53)</f>
        <v>478.03957783641164</v>
      </c>
    </row>
    <row r="21" spans="1:6" x14ac:dyDescent="0.25">
      <c r="A21" s="26" t="s">
        <v>56</v>
      </c>
      <c r="B21">
        <f>MAX((B1-9.4)/0.5,B1/1.2)</f>
        <v>21.2</v>
      </c>
      <c r="C21">
        <v>62</v>
      </c>
    </row>
    <row r="22" spans="1:6" x14ac:dyDescent="0.25">
      <c r="A22" s="26" t="s">
        <v>57</v>
      </c>
      <c r="F22" s="35">
        <v>10</v>
      </c>
    </row>
    <row r="23" spans="1:6" x14ac:dyDescent="0.25">
      <c r="A23" s="26" t="s">
        <v>58</v>
      </c>
      <c r="F23" s="35">
        <v>80</v>
      </c>
    </row>
    <row r="24" spans="1:6" x14ac:dyDescent="0.25">
      <c r="A24" s="26" t="s">
        <v>59</v>
      </c>
      <c r="D24" s="27">
        <v>513.5</v>
      </c>
      <c r="F24" s="35"/>
    </row>
    <row r="25" spans="1:6" x14ac:dyDescent="0.25">
      <c r="A25" s="26" t="s">
        <v>60</v>
      </c>
      <c r="D25">
        <f>$B$7*1775</f>
        <v>0</v>
      </c>
      <c r="F25" s="35"/>
    </row>
    <row r="26" spans="1:6" x14ac:dyDescent="0.25">
      <c r="A26" s="26" t="s">
        <v>61</v>
      </c>
      <c r="F26" s="35">
        <v>7</v>
      </c>
    </row>
    <row r="27" spans="1:6" x14ac:dyDescent="0.25">
      <c r="A27" s="26" t="s">
        <v>62</v>
      </c>
      <c r="D27">
        <v>3.5</v>
      </c>
      <c r="F27" s="35">
        <v>7</v>
      </c>
    </row>
    <row r="28" spans="1:6" x14ac:dyDescent="0.25">
      <c r="A28" s="26" t="s">
        <v>63</v>
      </c>
      <c r="C28">
        <f>$B$2/1.315</f>
        <v>12.927756653992397</v>
      </c>
      <c r="F28" s="35">
        <v>14</v>
      </c>
    </row>
    <row r="29" spans="1:6" x14ac:dyDescent="0.25">
      <c r="A29" s="26" t="s">
        <v>137</v>
      </c>
      <c r="F29" s="35">
        <f>33+B4*(30+7.5+20+10+10+2.5)</f>
        <v>115.32189973614777</v>
      </c>
    </row>
    <row r="30" spans="1:6" x14ac:dyDescent="0.25">
      <c r="A30" s="26" t="s">
        <v>64</v>
      </c>
      <c r="D30">
        <v>12</v>
      </c>
      <c r="F30" s="35">
        <v>12</v>
      </c>
    </row>
    <row r="31" spans="1:6" x14ac:dyDescent="0.25">
      <c r="A31" s="26" t="s">
        <v>65</v>
      </c>
      <c r="B31">
        <f>(B1-3.2)/0.79+10+15*B4+10</f>
        <v>56.701178985337833</v>
      </c>
      <c r="C31">
        <f>(B2-3.2)/0.79+40</f>
        <v>57.468354430379748</v>
      </c>
      <c r="F31" s="35">
        <f>35+15+15+7.5*B4</f>
        <v>72.717678100263853</v>
      </c>
    </row>
    <row r="32" spans="1:6" x14ac:dyDescent="0.25">
      <c r="A32" s="26" t="s">
        <v>66</v>
      </c>
      <c r="D32">
        <v>100</v>
      </c>
      <c r="F32" s="35"/>
    </row>
    <row r="33" spans="1:6" x14ac:dyDescent="0.25">
      <c r="A33" s="26" t="s">
        <v>67</v>
      </c>
      <c r="D33">
        <v>357</v>
      </c>
      <c r="F33" s="35"/>
    </row>
    <row r="34" spans="1:6" x14ac:dyDescent="0.25">
      <c r="A34" s="26" t="s">
        <v>68</v>
      </c>
      <c r="B34">
        <v>40</v>
      </c>
      <c r="C34">
        <v>40</v>
      </c>
      <c r="D34">
        <v>90</v>
      </c>
      <c r="F34" s="35"/>
    </row>
    <row r="35" spans="1:6" x14ac:dyDescent="0.25">
      <c r="A35" s="26" t="s">
        <v>69</v>
      </c>
      <c r="B35">
        <f>$B$1/1.725</f>
        <v>11.594202898550725</v>
      </c>
      <c r="D35">
        <v>7</v>
      </c>
      <c r="F35" s="35"/>
    </row>
    <row r="36" spans="1:6" x14ac:dyDescent="0.25">
      <c r="A36" s="27" t="s">
        <v>70</v>
      </c>
      <c r="C36">
        <f>20/0.92*$B$6</f>
        <v>0</v>
      </c>
      <c r="D36">
        <f>7*$B$6</f>
        <v>0</v>
      </c>
      <c r="F36" s="35"/>
    </row>
    <row r="37" spans="1:6" x14ac:dyDescent="0.25">
      <c r="A37" s="27" t="s">
        <v>71</v>
      </c>
      <c r="D37">
        <f>10*$B$5</f>
        <v>0</v>
      </c>
      <c r="F37" s="35"/>
    </row>
    <row r="38" spans="1:6" x14ac:dyDescent="0.25">
      <c r="A38" s="27" t="s">
        <v>72</v>
      </c>
      <c r="C38">
        <f>$B$6*(22+IF(B2&lt;20,B4*3*10,0))</f>
        <v>0</v>
      </c>
      <c r="F38" s="35"/>
    </row>
    <row r="39" spans="1:6" x14ac:dyDescent="0.25">
      <c r="A39" s="26" t="s">
        <v>73</v>
      </c>
      <c r="D39">
        <v>5</v>
      </c>
      <c r="F39" s="35">
        <v>90</v>
      </c>
    </row>
    <row r="40" spans="1:6" x14ac:dyDescent="0.25">
      <c r="A40" s="26" t="s">
        <v>74</v>
      </c>
      <c r="D40">
        <v>5</v>
      </c>
      <c r="F40" s="35">
        <v>70</v>
      </c>
    </row>
    <row r="41" spans="1:6" x14ac:dyDescent="0.25">
      <c r="A41" s="26" t="s">
        <v>75</v>
      </c>
      <c r="D41" s="35">
        <v>150</v>
      </c>
      <c r="F41" s="35"/>
    </row>
    <row r="42" spans="1:6" x14ac:dyDescent="0.25">
      <c r="A42" s="26" t="s">
        <v>76</v>
      </c>
      <c r="D42" s="27">
        <v>25.5</v>
      </c>
    </row>
    <row r="43" spans="1:6" x14ac:dyDescent="0.25">
      <c r="A43" s="26" t="s">
        <v>77</v>
      </c>
      <c r="D43" s="27">
        <v>173</v>
      </c>
    </row>
    <row r="44" spans="1:6" x14ac:dyDescent="0.25">
      <c r="A44" s="26" t="s">
        <v>78</v>
      </c>
      <c r="C44">
        <f>IF(B8=1,0,$B$5*10)</f>
        <v>0</v>
      </c>
      <c r="D44" s="35"/>
      <c r="F44">
        <f>IF(B8=1,0,12.5)</f>
        <v>0</v>
      </c>
    </row>
    <row r="45" spans="1:6" x14ac:dyDescent="0.25">
      <c r="A45" s="26" t="s">
        <v>79</v>
      </c>
      <c r="D45" s="27">
        <v>130</v>
      </c>
    </row>
    <row r="46" spans="1:6" x14ac:dyDescent="0.25">
      <c r="A46" s="26" t="s">
        <v>80</v>
      </c>
      <c r="C46">
        <f>IF(B8=1,186,572)</f>
        <v>186</v>
      </c>
      <c r="D46" s="27">
        <v>400</v>
      </c>
    </row>
    <row r="47" spans="1:6" x14ac:dyDescent="0.25">
      <c r="A47" s="26" t="s">
        <v>81</v>
      </c>
      <c r="D47">
        <f>50*$B$5</f>
        <v>0</v>
      </c>
      <c r="E47">
        <f>100*$B$5</f>
        <v>0</v>
      </c>
    </row>
    <row r="48" spans="1:6" x14ac:dyDescent="0.25">
      <c r="A48" s="26" t="s">
        <v>82</v>
      </c>
      <c r="D48">
        <f>(20)+65*($B$5)-($B$5)*IF(B3&lt;2.9,65,0)</f>
        <v>20</v>
      </c>
      <c r="E48">
        <f>(2.5+$B$3/0.18)*$B$5</f>
        <v>0</v>
      </c>
    </row>
    <row r="49" spans="1:6" x14ac:dyDescent="0.25">
      <c r="A49" s="26" t="s">
        <v>83</v>
      </c>
      <c r="D49">
        <f>$B$5*(38+130)</f>
        <v>0</v>
      </c>
    </row>
    <row r="50" spans="1:6" x14ac:dyDescent="0.25">
      <c r="A50" s="26" t="s">
        <v>84</v>
      </c>
      <c r="C50">
        <f>IF(B8=1,0,$B$5*10)</f>
        <v>0</v>
      </c>
      <c r="F50">
        <f>IF(B8=1,0,12.5)</f>
        <v>0</v>
      </c>
    </row>
    <row r="51" spans="1:6" x14ac:dyDescent="0.25">
      <c r="A51" s="26" t="s">
        <v>85</v>
      </c>
      <c r="D51">
        <f>$B$5*130</f>
        <v>0</v>
      </c>
    </row>
    <row r="52" spans="1:6" x14ac:dyDescent="0.25">
      <c r="A52" s="26" t="s">
        <v>86</v>
      </c>
      <c r="C52">
        <f>$B$5*IF(B8=1,186,572)</f>
        <v>0</v>
      </c>
      <c r="D52">
        <f>$B$5*(10+390)</f>
        <v>0</v>
      </c>
    </row>
    <row r="53" spans="1:6" x14ac:dyDescent="0.25">
      <c r="A53" s="26" t="s">
        <v>87</v>
      </c>
      <c r="D53">
        <f>4500-1775</f>
        <v>2725</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48"/>
  <sheetViews>
    <sheetView workbookViewId="0">
      <selection activeCell="F43" sqref="F43"/>
    </sheetView>
  </sheetViews>
  <sheetFormatPr defaultRowHeight="13.2" x14ac:dyDescent="0.25"/>
  <cols>
    <col min="1" max="1" width="11.44140625" customWidth="1"/>
    <col min="2" max="2" width="10.5546875" customWidth="1"/>
    <col min="3" max="3" width="10.88671875" customWidth="1"/>
    <col min="4" max="4" width="11" customWidth="1"/>
    <col min="7" max="7" width="11.33203125" customWidth="1"/>
    <col min="8" max="8" width="11" customWidth="1"/>
    <col min="9" max="9" width="11.109375" customWidth="1"/>
  </cols>
  <sheetData>
    <row r="1" spans="1:9" x14ac:dyDescent="0.25">
      <c r="A1" s="1" t="s">
        <v>139</v>
      </c>
    </row>
    <row r="2" spans="1:9" x14ac:dyDescent="0.25">
      <c r="A2" s="1" t="s">
        <v>138</v>
      </c>
    </row>
    <row r="4" spans="1:9" x14ac:dyDescent="0.25">
      <c r="A4" s="1" t="s">
        <v>142</v>
      </c>
      <c r="F4" s="1" t="s">
        <v>144</v>
      </c>
    </row>
    <row r="5" spans="1:9" x14ac:dyDescent="0.25">
      <c r="A5" s="1" t="s">
        <v>143</v>
      </c>
      <c r="B5" s="1" t="s">
        <v>146</v>
      </c>
      <c r="C5" s="1" t="s">
        <v>147</v>
      </c>
      <c r="D5" s="1" t="s">
        <v>148</v>
      </c>
      <c r="F5" s="1" t="s">
        <v>143</v>
      </c>
      <c r="G5" s="1" t="s">
        <v>149</v>
      </c>
      <c r="H5" s="1" t="s">
        <v>150</v>
      </c>
      <c r="I5" s="1" t="s">
        <v>151</v>
      </c>
    </row>
    <row r="6" spans="1:9" ht="14.25" customHeight="1" x14ac:dyDescent="0.25">
      <c r="A6" t="s">
        <v>140</v>
      </c>
      <c r="B6" t="s">
        <v>141</v>
      </c>
      <c r="C6" t="s">
        <v>141</v>
      </c>
      <c r="D6" t="s">
        <v>141</v>
      </c>
      <c r="F6" t="s">
        <v>140</v>
      </c>
      <c r="G6" t="s">
        <v>141</v>
      </c>
      <c r="H6" t="s">
        <v>141</v>
      </c>
      <c r="I6" t="s">
        <v>141</v>
      </c>
    </row>
    <row r="7" spans="1:9" x14ac:dyDescent="0.25">
      <c r="A7">
        <v>0</v>
      </c>
      <c r="B7">
        <v>56.9</v>
      </c>
      <c r="C7">
        <v>52.8</v>
      </c>
      <c r="D7">
        <v>35.6</v>
      </c>
      <c r="F7">
        <v>0</v>
      </c>
      <c r="G7">
        <v>36.799999999999997</v>
      </c>
      <c r="H7">
        <v>34.1</v>
      </c>
      <c r="I7">
        <v>23.3</v>
      </c>
    </row>
    <row r="8" spans="1:9" x14ac:dyDescent="0.25">
      <c r="A8">
        <v>10</v>
      </c>
      <c r="B8">
        <v>54.8</v>
      </c>
      <c r="C8">
        <v>50.6</v>
      </c>
      <c r="D8">
        <v>33.4</v>
      </c>
      <c r="F8">
        <v>10</v>
      </c>
      <c r="G8">
        <v>34.6</v>
      </c>
      <c r="H8">
        <v>32</v>
      </c>
      <c r="I8">
        <v>21.1</v>
      </c>
    </row>
    <row r="9" spans="1:9" x14ac:dyDescent="0.25">
      <c r="A9">
        <v>20</v>
      </c>
      <c r="B9">
        <v>52.6</v>
      </c>
      <c r="C9">
        <v>48.4</v>
      </c>
      <c r="D9">
        <v>31.3</v>
      </c>
      <c r="F9">
        <v>20</v>
      </c>
      <c r="G9">
        <v>32.4</v>
      </c>
      <c r="H9">
        <v>29.8</v>
      </c>
      <c r="I9">
        <v>18.899999999999999</v>
      </c>
    </row>
    <row r="10" spans="1:9" x14ac:dyDescent="0.25">
      <c r="A10">
        <v>30</v>
      </c>
      <c r="B10">
        <v>50.4</v>
      </c>
      <c r="C10">
        <v>46.2</v>
      </c>
      <c r="D10">
        <v>29.1</v>
      </c>
      <c r="F10">
        <v>30</v>
      </c>
      <c r="G10">
        <v>30.2</v>
      </c>
      <c r="H10">
        <v>27.5</v>
      </c>
      <c r="I10">
        <v>16.7</v>
      </c>
    </row>
    <row r="11" spans="1:9" x14ac:dyDescent="0.25">
      <c r="A11">
        <v>40</v>
      </c>
      <c r="B11">
        <v>48.1</v>
      </c>
      <c r="C11">
        <v>44</v>
      </c>
      <c r="D11">
        <v>26.9</v>
      </c>
      <c r="F11">
        <v>40</v>
      </c>
      <c r="G11">
        <v>27.9</v>
      </c>
      <c r="H11">
        <v>25.3</v>
      </c>
      <c r="I11">
        <v>14.5</v>
      </c>
    </row>
    <row r="12" spans="1:9" x14ac:dyDescent="0.25">
      <c r="A12">
        <v>50</v>
      </c>
      <c r="B12">
        <v>45.8</v>
      </c>
      <c r="C12">
        <v>41.7</v>
      </c>
      <c r="D12">
        <v>24.6</v>
      </c>
      <c r="F12">
        <v>50</v>
      </c>
      <c r="G12">
        <v>25.6</v>
      </c>
      <c r="H12">
        <v>23</v>
      </c>
      <c r="I12">
        <v>12.1</v>
      </c>
    </row>
    <row r="13" spans="1:9" x14ac:dyDescent="0.25">
      <c r="A13">
        <v>60</v>
      </c>
      <c r="B13">
        <v>43.5</v>
      </c>
      <c r="C13">
        <v>39.299999999999997</v>
      </c>
      <c r="D13">
        <v>22.2</v>
      </c>
      <c r="F13">
        <v>60</v>
      </c>
      <c r="G13">
        <v>23.2</v>
      </c>
      <c r="H13">
        <v>20.6</v>
      </c>
      <c r="I13">
        <v>9.8000000000000007</v>
      </c>
    </row>
    <row r="14" spans="1:9" x14ac:dyDescent="0.25">
      <c r="A14">
        <v>70</v>
      </c>
      <c r="B14">
        <v>41.1</v>
      </c>
      <c r="C14">
        <v>36.9</v>
      </c>
      <c r="D14">
        <v>19.8</v>
      </c>
      <c r="F14">
        <v>70</v>
      </c>
      <c r="G14">
        <v>20.8</v>
      </c>
      <c r="H14">
        <v>18.2</v>
      </c>
      <c r="I14">
        <v>7.3</v>
      </c>
    </row>
    <row r="15" spans="1:9" x14ac:dyDescent="0.25">
      <c r="A15">
        <v>80</v>
      </c>
      <c r="B15">
        <v>38.700000000000003</v>
      </c>
      <c r="C15">
        <v>34.5</v>
      </c>
      <c r="D15">
        <v>17.399999999999999</v>
      </c>
      <c r="F15">
        <v>80</v>
      </c>
      <c r="G15">
        <v>18.3</v>
      </c>
      <c r="H15">
        <v>15.7</v>
      </c>
      <c r="I15">
        <v>4.8</v>
      </c>
    </row>
    <row r="16" spans="1:9" x14ac:dyDescent="0.25">
      <c r="A16">
        <v>90</v>
      </c>
      <c r="B16">
        <v>36.200000000000003</v>
      </c>
      <c r="C16">
        <v>32</v>
      </c>
      <c r="D16">
        <v>14.9</v>
      </c>
      <c r="F16">
        <v>90</v>
      </c>
      <c r="G16">
        <v>15.8</v>
      </c>
      <c r="H16">
        <v>13.2</v>
      </c>
      <c r="I16">
        <v>2.2999999999999998</v>
      </c>
    </row>
    <row r="17" spans="1:9" x14ac:dyDescent="0.25">
      <c r="A17">
        <v>100</v>
      </c>
      <c r="B17">
        <v>33.6</v>
      </c>
      <c r="C17">
        <v>29.5</v>
      </c>
      <c r="D17">
        <v>12.3</v>
      </c>
      <c r="F17">
        <v>100</v>
      </c>
      <c r="G17">
        <v>13.2</v>
      </c>
      <c r="H17">
        <v>10.6</v>
      </c>
      <c r="I17">
        <v>0</v>
      </c>
    </row>
    <row r="20" spans="1:9" x14ac:dyDescent="0.25">
      <c r="A20" s="1" t="s">
        <v>142</v>
      </c>
      <c r="F20" s="1" t="s">
        <v>144</v>
      </c>
    </row>
    <row r="21" spans="1:9" x14ac:dyDescent="0.25">
      <c r="A21" s="1" t="s">
        <v>143</v>
      </c>
      <c r="B21" s="1" t="s">
        <v>146</v>
      </c>
      <c r="C21" s="1" t="s">
        <v>147</v>
      </c>
      <c r="D21" s="1" t="s">
        <v>148</v>
      </c>
      <c r="F21" s="1" t="s">
        <v>143</v>
      </c>
      <c r="G21" s="1" t="s">
        <v>149</v>
      </c>
      <c r="H21" s="1" t="s">
        <v>150</v>
      </c>
      <c r="I21" s="1" t="s">
        <v>151</v>
      </c>
    </row>
    <row r="22" spans="1:9" x14ac:dyDescent="0.25">
      <c r="A22" t="s">
        <v>140</v>
      </c>
      <c r="B22" s="33" t="s">
        <v>145</v>
      </c>
      <c r="C22" s="33" t="s">
        <v>145</v>
      </c>
      <c r="D22" s="33" t="s">
        <v>145</v>
      </c>
      <c r="F22" s="33" t="s">
        <v>145</v>
      </c>
      <c r="G22" s="33" t="s">
        <v>145</v>
      </c>
      <c r="H22" s="33" t="s">
        <v>145</v>
      </c>
      <c r="I22" s="33" t="s">
        <v>145</v>
      </c>
    </row>
    <row r="23" spans="1:9" x14ac:dyDescent="0.25">
      <c r="A23">
        <v>0</v>
      </c>
      <c r="B23">
        <v>35.700000000000003</v>
      </c>
      <c r="C23">
        <v>35.700000000000003</v>
      </c>
      <c r="D23">
        <v>35.4</v>
      </c>
      <c r="F23">
        <v>0</v>
      </c>
      <c r="G23">
        <v>22.5</v>
      </c>
      <c r="H23">
        <v>22.4</v>
      </c>
      <c r="I23">
        <v>22.2</v>
      </c>
    </row>
    <row r="24" spans="1:9" x14ac:dyDescent="0.25">
      <c r="A24">
        <v>10</v>
      </c>
      <c r="B24">
        <v>34.4</v>
      </c>
      <c r="C24">
        <v>34.299999999999997</v>
      </c>
      <c r="D24">
        <v>33.5</v>
      </c>
      <c r="F24">
        <v>10</v>
      </c>
      <c r="G24">
        <v>21.2</v>
      </c>
      <c r="H24">
        <v>21.1</v>
      </c>
      <c r="I24">
        <v>20.3</v>
      </c>
    </row>
    <row r="25" spans="1:9" x14ac:dyDescent="0.25">
      <c r="A25">
        <v>20</v>
      </c>
      <c r="B25">
        <v>33.200000000000003</v>
      </c>
      <c r="C25">
        <v>33</v>
      </c>
      <c r="D25">
        <v>31.6</v>
      </c>
      <c r="F25">
        <v>20</v>
      </c>
      <c r="G25">
        <v>20</v>
      </c>
      <c r="H25">
        <v>19.7</v>
      </c>
      <c r="I25">
        <v>18.399999999999999</v>
      </c>
    </row>
    <row r="26" spans="1:9" x14ac:dyDescent="0.25">
      <c r="A26">
        <v>30</v>
      </c>
      <c r="B26">
        <v>31.9</v>
      </c>
      <c r="C26">
        <v>31.6</v>
      </c>
      <c r="D26">
        <v>29.6</v>
      </c>
      <c r="F26">
        <v>30</v>
      </c>
      <c r="G26">
        <v>18.7</v>
      </c>
      <c r="H26">
        <v>18.399999999999999</v>
      </c>
      <c r="I26">
        <v>16.399999999999999</v>
      </c>
    </row>
    <row r="27" spans="1:9" x14ac:dyDescent="0.25">
      <c r="A27">
        <v>40</v>
      </c>
      <c r="B27">
        <v>30.5</v>
      </c>
      <c r="C27">
        <v>30.2</v>
      </c>
      <c r="D27">
        <v>27.6</v>
      </c>
      <c r="F27">
        <v>40</v>
      </c>
      <c r="G27">
        <v>17.3</v>
      </c>
      <c r="H27">
        <v>16.899999999999999</v>
      </c>
      <c r="I27">
        <v>14.3</v>
      </c>
    </row>
    <row r="28" spans="1:9" x14ac:dyDescent="0.25">
      <c r="A28">
        <v>50</v>
      </c>
      <c r="B28">
        <v>29.2</v>
      </c>
      <c r="C28">
        <v>28.7</v>
      </c>
      <c r="D28">
        <v>25.4</v>
      </c>
      <c r="F28">
        <v>50</v>
      </c>
      <c r="G28">
        <v>16</v>
      </c>
      <c r="H28">
        <v>15.5</v>
      </c>
      <c r="I28">
        <v>12.2</v>
      </c>
    </row>
    <row r="29" spans="1:9" x14ac:dyDescent="0.25">
      <c r="A29">
        <v>60</v>
      </c>
      <c r="B29">
        <v>27.8</v>
      </c>
      <c r="C29">
        <v>27.2</v>
      </c>
      <c r="D29">
        <v>23.2</v>
      </c>
      <c r="F29">
        <v>60</v>
      </c>
      <c r="G29">
        <v>14.6</v>
      </c>
      <c r="H29">
        <v>14</v>
      </c>
      <c r="I29">
        <v>10</v>
      </c>
    </row>
    <row r="30" spans="1:9" x14ac:dyDescent="0.25">
      <c r="A30">
        <v>70</v>
      </c>
      <c r="B30">
        <v>26.4</v>
      </c>
      <c r="C30">
        <v>25.7</v>
      </c>
      <c r="D30">
        <v>20.9</v>
      </c>
      <c r="F30">
        <v>70</v>
      </c>
      <c r="G30">
        <v>13.2</v>
      </c>
      <c r="H30">
        <v>12.4</v>
      </c>
      <c r="I30">
        <v>7.7</v>
      </c>
    </row>
    <row r="31" spans="1:9" x14ac:dyDescent="0.25">
      <c r="A31">
        <v>80</v>
      </c>
      <c r="B31">
        <v>24.9</v>
      </c>
      <c r="C31">
        <v>24.1</v>
      </c>
      <c r="D31">
        <v>18.5</v>
      </c>
      <c r="F31">
        <v>80</v>
      </c>
      <c r="G31">
        <v>11.7</v>
      </c>
      <c r="H31">
        <v>10.9</v>
      </c>
      <c r="I31">
        <v>5.3</v>
      </c>
    </row>
    <row r="32" spans="1:9" x14ac:dyDescent="0.25">
      <c r="A32">
        <v>90</v>
      </c>
      <c r="B32">
        <v>23.4</v>
      </c>
      <c r="C32">
        <v>22.4</v>
      </c>
      <c r="D32">
        <v>16</v>
      </c>
      <c r="F32">
        <v>90</v>
      </c>
      <c r="G32">
        <v>10.199999999999999</v>
      </c>
      <c r="H32">
        <v>9.1999999999999993</v>
      </c>
      <c r="I32">
        <v>2.9</v>
      </c>
    </row>
    <row r="33" spans="1:9" x14ac:dyDescent="0.25">
      <c r="A33">
        <v>100</v>
      </c>
      <c r="B33">
        <v>21.8</v>
      </c>
      <c r="C33">
        <v>20.8</v>
      </c>
      <c r="D33">
        <v>13.5</v>
      </c>
      <c r="F33">
        <v>100</v>
      </c>
      <c r="G33">
        <v>8.6</v>
      </c>
      <c r="H33">
        <v>7.6</v>
      </c>
      <c r="I33">
        <v>0.3</v>
      </c>
    </row>
    <row r="35" spans="1:9" x14ac:dyDescent="0.25">
      <c r="A35" s="1" t="s">
        <v>162</v>
      </c>
      <c r="F35" s="1" t="s">
        <v>163</v>
      </c>
    </row>
    <row r="36" spans="1:9" x14ac:dyDescent="0.25">
      <c r="A36" s="1" t="s">
        <v>143</v>
      </c>
      <c r="B36" s="1" t="s">
        <v>164</v>
      </c>
      <c r="C36" s="1" t="s">
        <v>165</v>
      </c>
      <c r="D36" s="1" t="s">
        <v>166</v>
      </c>
      <c r="F36" s="1" t="s">
        <v>143</v>
      </c>
      <c r="G36" s="1" t="s">
        <v>167</v>
      </c>
      <c r="H36" s="1" t="s">
        <v>168</v>
      </c>
      <c r="I36" s="1" t="s">
        <v>169</v>
      </c>
    </row>
    <row r="37" spans="1:9" x14ac:dyDescent="0.25">
      <c r="A37" t="s">
        <v>140</v>
      </c>
      <c r="B37" t="s">
        <v>141</v>
      </c>
      <c r="C37" t="s">
        <v>141</v>
      </c>
      <c r="D37" t="s">
        <v>141</v>
      </c>
      <c r="F37" s="33" t="s">
        <v>145</v>
      </c>
      <c r="G37" t="s">
        <v>141</v>
      </c>
      <c r="H37" t="s">
        <v>141</v>
      </c>
      <c r="I37" t="s">
        <v>141</v>
      </c>
    </row>
    <row r="38" spans="1:9" x14ac:dyDescent="0.25">
      <c r="A38">
        <v>0</v>
      </c>
      <c r="B38">
        <v>27.7</v>
      </c>
      <c r="C38">
        <v>25.7</v>
      </c>
      <c r="D38">
        <v>17.600000000000001</v>
      </c>
      <c r="F38">
        <v>0</v>
      </c>
      <c r="G38">
        <v>12</v>
      </c>
      <c r="H38">
        <v>11.1</v>
      </c>
      <c r="I38">
        <v>7.6</v>
      </c>
    </row>
    <row r="39" spans="1:9" x14ac:dyDescent="0.25">
      <c r="A39">
        <v>10</v>
      </c>
      <c r="B39">
        <v>25.5</v>
      </c>
      <c r="C39">
        <v>23.5</v>
      </c>
      <c r="D39">
        <v>15.5</v>
      </c>
      <c r="F39">
        <v>10</v>
      </c>
      <c r="G39">
        <v>9.8000000000000007</v>
      </c>
      <c r="H39">
        <v>8.9</v>
      </c>
      <c r="I39">
        <v>5.4</v>
      </c>
    </row>
    <row r="40" spans="1:9" x14ac:dyDescent="0.25">
      <c r="A40">
        <v>20</v>
      </c>
      <c r="B40">
        <v>23.3</v>
      </c>
      <c r="C40">
        <v>21.3</v>
      </c>
      <c r="D40">
        <v>13.3</v>
      </c>
      <c r="F40">
        <v>20</v>
      </c>
      <c r="G40">
        <v>7.6</v>
      </c>
      <c r="H40">
        <v>6.7</v>
      </c>
      <c r="I40">
        <v>3.2</v>
      </c>
    </row>
    <row r="41" spans="1:9" x14ac:dyDescent="0.25">
      <c r="A41">
        <v>30</v>
      </c>
      <c r="B41">
        <v>21.1</v>
      </c>
      <c r="C41">
        <v>19.100000000000001</v>
      </c>
      <c r="D41">
        <v>11.1</v>
      </c>
      <c r="F41">
        <v>30</v>
      </c>
      <c r="G41">
        <v>5.4</v>
      </c>
      <c r="H41">
        <v>4.5</v>
      </c>
      <c r="I41">
        <v>0.9</v>
      </c>
    </row>
    <row r="42" spans="1:9" x14ac:dyDescent="0.25">
      <c r="A42">
        <v>40</v>
      </c>
      <c r="B42">
        <v>18.8</v>
      </c>
      <c r="C42">
        <v>16.8</v>
      </c>
      <c r="D42">
        <v>8.8000000000000007</v>
      </c>
      <c r="F42">
        <v>40</v>
      </c>
      <c r="G42">
        <v>3.1</v>
      </c>
      <c r="H42">
        <v>2.2000000000000002</v>
      </c>
    </row>
    <row r="43" spans="1:9" x14ac:dyDescent="0.25">
      <c r="A43">
        <v>50</v>
      </c>
      <c r="B43">
        <v>16.5</v>
      </c>
      <c r="C43">
        <v>14.5</v>
      </c>
      <c r="D43">
        <v>6.4</v>
      </c>
      <c r="F43">
        <v>50</v>
      </c>
      <c r="G43">
        <v>0.8</v>
      </c>
      <c r="H43">
        <v>0</v>
      </c>
    </row>
    <row r="44" spans="1:9" x14ac:dyDescent="0.25">
      <c r="A44">
        <v>60</v>
      </c>
      <c r="B44">
        <v>14.1</v>
      </c>
      <c r="C44">
        <v>12.1</v>
      </c>
      <c r="D44">
        <v>4</v>
      </c>
      <c r="F44">
        <v>60</v>
      </c>
    </row>
    <row r="45" spans="1:9" x14ac:dyDescent="0.25">
      <c r="A45">
        <v>70</v>
      </c>
      <c r="B45">
        <v>11.7</v>
      </c>
      <c r="C45">
        <v>9.6999999999999993</v>
      </c>
      <c r="D45">
        <v>1.6</v>
      </c>
      <c r="F45">
        <v>70</v>
      </c>
    </row>
    <row r="46" spans="1:9" x14ac:dyDescent="0.25">
      <c r="A46">
        <v>80</v>
      </c>
      <c r="B46">
        <v>9.1999999999999993</v>
      </c>
      <c r="C46">
        <v>7.2</v>
      </c>
      <c r="F46">
        <v>80</v>
      </c>
    </row>
    <row r="47" spans="1:9" x14ac:dyDescent="0.25">
      <c r="A47">
        <v>90</v>
      </c>
      <c r="B47">
        <v>6.7</v>
      </c>
      <c r="C47">
        <v>4.7</v>
      </c>
      <c r="F47">
        <v>90</v>
      </c>
    </row>
    <row r="48" spans="1:9" x14ac:dyDescent="0.25">
      <c r="A48">
        <v>100</v>
      </c>
      <c r="B48">
        <v>4.0999999999999996</v>
      </c>
      <c r="C48">
        <v>2.2000000000000002</v>
      </c>
      <c r="F48">
        <v>100</v>
      </c>
    </row>
  </sheetData>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7"/>
  <sheetViews>
    <sheetView workbookViewId="0">
      <selection activeCell="A3" sqref="A3"/>
    </sheetView>
  </sheetViews>
  <sheetFormatPr defaultRowHeight="13.2" x14ac:dyDescent="0.25"/>
  <cols>
    <col min="2" max="2" width="27.109375" customWidth="1"/>
    <col min="3" max="3" width="30.77734375" customWidth="1"/>
    <col min="4" max="4" width="29.33203125" customWidth="1"/>
    <col min="5" max="5" width="40.33203125" customWidth="1"/>
    <col min="6" max="6" width="27.33203125" customWidth="1"/>
    <col min="7" max="7" width="19.6640625" customWidth="1"/>
  </cols>
  <sheetData>
    <row r="1" spans="1:12" x14ac:dyDescent="0.25">
      <c r="A1" t="s">
        <v>153</v>
      </c>
      <c r="B1" s="33" t="s">
        <v>154</v>
      </c>
      <c r="C1" s="33" t="s">
        <v>155</v>
      </c>
      <c r="D1" s="33" t="s">
        <v>156</v>
      </c>
      <c r="E1" s="33" t="s">
        <v>157</v>
      </c>
      <c r="F1" s="33" t="s">
        <v>158</v>
      </c>
      <c r="G1" s="33" t="s">
        <v>159</v>
      </c>
      <c r="H1" s="33"/>
      <c r="I1" s="33"/>
      <c r="J1" s="33"/>
      <c r="K1" s="33"/>
      <c r="L1" s="33"/>
    </row>
    <row r="2" spans="1:12" x14ac:dyDescent="0.25">
      <c r="A2">
        <v>20</v>
      </c>
      <c r="B2">
        <v>2.96</v>
      </c>
      <c r="C2">
        <v>2.5299999999999998</v>
      </c>
      <c r="D2">
        <v>2.87</v>
      </c>
      <c r="E2">
        <v>2.1</v>
      </c>
      <c r="F2">
        <v>3.47</v>
      </c>
      <c r="G2">
        <v>3.78</v>
      </c>
    </row>
    <row r="3" spans="1:12" x14ac:dyDescent="0.25">
      <c r="A3">
        <v>22</v>
      </c>
      <c r="B3">
        <v>2.85</v>
      </c>
      <c r="C3">
        <v>2.44</v>
      </c>
      <c r="D3">
        <v>2.76</v>
      </c>
      <c r="E3">
        <v>2.0299999999999998</v>
      </c>
      <c r="F3">
        <v>3.33</v>
      </c>
      <c r="G3">
        <v>3.62</v>
      </c>
    </row>
    <row r="4" spans="1:12" x14ac:dyDescent="0.25">
      <c r="A4">
        <v>24</v>
      </c>
      <c r="B4">
        <v>2.77</v>
      </c>
      <c r="C4">
        <v>2.38</v>
      </c>
      <c r="D4">
        <v>2.68</v>
      </c>
      <c r="E4">
        <v>1.99</v>
      </c>
      <c r="F4">
        <v>3.23</v>
      </c>
      <c r="G4">
        <v>3.5</v>
      </c>
    </row>
    <row r="5" spans="1:12" x14ac:dyDescent="0.25">
      <c r="A5">
        <v>26</v>
      </c>
      <c r="B5">
        <v>2.7</v>
      </c>
      <c r="C5">
        <v>2.3199999999999998</v>
      </c>
      <c r="D5">
        <v>2.61</v>
      </c>
      <c r="E5">
        <v>1.95</v>
      </c>
      <c r="F5">
        <v>3.14</v>
      </c>
      <c r="G5">
        <v>3.4</v>
      </c>
    </row>
    <row r="6" spans="1:12" x14ac:dyDescent="0.25">
      <c r="A6">
        <v>28</v>
      </c>
      <c r="B6">
        <v>2.65</v>
      </c>
      <c r="C6">
        <v>2.2799999999999998</v>
      </c>
      <c r="D6">
        <v>2.57</v>
      </c>
      <c r="E6">
        <v>1.93</v>
      </c>
      <c r="F6">
        <v>3.09</v>
      </c>
      <c r="G6">
        <v>3.33</v>
      </c>
    </row>
    <row r="7" spans="1:12" x14ac:dyDescent="0.25">
      <c r="A7">
        <v>30</v>
      </c>
      <c r="B7">
        <v>2.61</v>
      </c>
      <c r="C7">
        <v>2.2400000000000002</v>
      </c>
      <c r="D7">
        <v>2.52</v>
      </c>
      <c r="E7">
        <v>1.92</v>
      </c>
      <c r="F7">
        <v>3.04</v>
      </c>
      <c r="G7">
        <v>3.28</v>
      </c>
    </row>
  </sheetData>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9"/>
  <sheetViews>
    <sheetView workbookViewId="0">
      <selection activeCell="E6" sqref="E6"/>
    </sheetView>
  </sheetViews>
  <sheetFormatPr defaultRowHeight="13.2" x14ac:dyDescent="0.25"/>
  <cols>
    <col min="2" max="2" width="23.6640625" customWidth="1"/>
    <col min="3" max="3" width="28.6640625" customWidth="1"/>
    <col min="4" max="4" width="16.109375" customWidth="1"/>
    <col min="5" max="5" width="12.109375" customWidth="1"/>
  </cols>
  <sheetData>
    <row r="1" spans="1:3" x14ac:dyDescent="0.25">
      <c r="A1" s="33" t="s">
        <v>152</v>
      </c>
      <c r="B1" s="33" t="s">
        <v>161</v>
      </c>
      <c r="C1" s="33" t="s">
        <v>160</v>
      </c>
    </row>
    <row r="2" spans="1:3" x14ac:dyDescent="0.25">
      <c r="A2">
        <v>5</v>
      </c>
      <c r="B2">
        <v>1.44</v>
      </c>
      <c r="C2">
        <v>1.92</v>
      </c>
    </row>
    <row r="3" spans="1:3" x14ac:dyDescent="0.25">
      <c r="A3">
        <v>10</v>
      </c>
      <c r="B3">
        <v>1.75</v>
      </c>
      <c r="C3">
        <v>2.2050000000000001</v>
      </c>
    </row>
    <row r="4" spans="1:3" x14ac:dyDescent="0.25">
      <c r="A4">
        <v>15</v>
      </c>
      <c r="B4">
        <v>2.0499999999999998</v>
      </c>
      <c r="C4">
        <f>(C3+C5)/2</f>
        <v>2.4900000000000002</v>
      </c>
    </row>
    <row r="5" spans="1:3" x14ac:dyDescent="0.25">
      <c r="A5">
        <v>20</v>
      </c>
      <c r="B5">
        <v>2.35</v>
      </c>
      <c r="C5">
        <v>2.7749999999999999</v>
      </c>
    </row>
    <row r="6" spans="1:3" x14ac:dyDescent="0.25">
      <c r="A6">
        <v>25</v>
      </c>
      <c r="B6">
        <v>2.65</v>
      </c>
      <c r="C6">
        <v>3.089</v>
      </c>
    </row>
    <row r="7" spans="1:3" x14ac:dyDescent="0.25">
      <c r="A7">
        <v>30</v>
      </c>
      <c r="B7">
        <v>2.95</v>
      </c>
      <c r="C7">
        <v>3.4020000000000001</v>
      </c>
    </row>
    <row r="8" spans="1:3" x14ac:dyDescent="0.25">
      <c r="A8">
        <v>35</v>
      </c>
      <c r="B8">
        <v>3.25</v>
      </c>
      <c r="C8">
        <f>(C7+C9)/2</f>
        <v>3.7229999999999999</v>
      </c>
    </row>
    <row r="9" spans="1:3" x14ac:dyDescent="0.25">
      <c r="A9">
        <v>40</v>
      </c>
      <c r="B9">
        <v>3.55</v>
      </c>
      <c r="C9">
        <v>4.0439999999999996</v>
      </c>
    </row>
  </sheetData>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F14"/>
  <sheetViews>
    <sheetView workbookViewId="0">
      <selection activeCell="B41" sqref="B41"/>
    </sheetView>
  </sheetViews>
  <sheetFormatPr defaultRowHeight="13.2" x14ac:dyDescent="0.25"/>
  <cols>
    <col min="1" max="1" width="11.5546875" customWidth="1"/>
    <col min="2" max="2" width="11.44140625" customWidth="1"/>
    <col min="3" max="3" width="12.33203125" customWidth="1"/>
    <col min="4" max="4" width="12.44140625" customWidth="1"/>
  </cols>
  <sheetData>
    <row r="1" spans="1:6" x14ac:dyDescent="0.25">
      <c r="A1" s="33" t="s">
        <v>173</v>
      </c>
    </row>
    <row r="2" spans="1:6" x14ac:dyDescent="0.25">
      <c r="B2" s="33" t="s">
        <v>170</v>
      </c>
      <c r="C2" s="33">
        <v>45</v>
      </c>
      <c r="D2" s="33" t="s">
        <v>1</v>
      </c>
    </row>
    <row r="3" spans="1:6" x14ac:dyDescent="0.25">
      <c r="B3" s="33" t="s">
        <v>171</v>
      </c>
      <c r="C3">
        <v>16</v>
      </c>
      <c r="D3" s="33" t="s">
        <v>0</v>
      </c>
    </row>
    <row r="4" spans="1:6" x14ac:dyDescent="0.25">
      <c r="B4" s="33" t="s">
        <v>172</v>
      </c>
      <c r="C4">
        <v>13</v>
      </c>
      <c r="D4" s="33" t="s">
        <v>1</v>
      </c>
    </row>
    <row r="6" spans="1:6" x14ac:dyDescent="0.25">
      <c r="A6" s="3" t="s">
        <v>180</v>
      </c>
      <c r="B6" s="19" t="s">
        <v>174</v>
      </c>
      <c r="C6" s="19" t="s">
        <v>175</v>
      </c>
      <c r="D6" s="19" t="s">
        <v>176</v>
      </c>
    </row>
    <row r="7" spans="1:6" x14ac:dyDescent="0.25">
      <c r="A7" s="19" t="s">
        <v>177</v>
      </c>
      <c r="B7" s="5">
        <v>0.16</v>
      </c>
      <c r="C7" s="19">
        <v>0.16</v>
      </c>
      <c r="D7" s="5">
        <v>0.16</v>
      </c>
      <c r="F7" s="33" t="s">
        <v>182</v>
      </c>
    </row>
    <row r="8" spans="1:6" x14ac:dyDescent="0.25">
      <c r="A8" s="19" t="s">
        <v>178</v>
      </c>
      <c r="B8" s="5">
        <v>0.23</v>
      </c>
      <c r="C8" s="19">
        <v>0.2</v>
      </c>
      <c r="D8" s="5">
        <v>0.2</v>
      </c>
      <c r="F8" s="33" t="s">
        <v>181</v>
      </c>
    </row>
    <row r="9" spans="1:6" x14ac:dyDescent="0.25">
      <c r="A9" s="19" t="s">
        <v>179</v>
      </c>
      <c r="B9" s="5">
        <v>0.36499999999999999</v>
      </c>
      <c r="C9" s="19">
        <v>0.72499999999999998</v>
      </c>
      <c r="D9" s="5">
        <v>0.82499999999999996</v>
      </c>
      <c r="F9" s="33" t="s">
        <v>181</v>
      </c>
    </row>
    <row r="11" spans="1:6" x14ac:dyDescent="0.25">
      <c r="A11" s="3" t="s">
        <v>184</v>
      </c>
      <c r="B11" s="19" t="s">
        <v>174</v>
      </c>
      <c r="C11" s="19" t="s">
        <v>175</v>
      </c>
      <c r="D11" s="19" t="s">
        <v>176</v>
      </c>
      <c r="F11" s="1" t="s">
        <v>183</v>
      </c>
    </row>
    <row r="12" spans="1:6" x14ac:dyDescent="0.25">
      <c r="A12" s="19" t="s">
        <v>177</v>
      </c>
      <c r="B12" s="5">
        <f t="shared" ref="B12:D14" si="0">ROUND(B7*35,0)</f>
        <v>6</v>
      </c>
      <c r="C12" s="5">
        <f t="shared" si="0"/>
        <v>6</v>
      </c>
      <c r="D12" s="5">
        <f t="shared" si="0"/>
        <v>6</v>
      </c>
      <c r="F12" s="33" t="s">
        <v>182</v>
      </c>
    </row>
    <row r="13" spans="1:6" x14ac:dyDescent="0.25">
      <c r="A13" s="19" t="s">
        <v>178</v>
      </c>
      <c r="B13" s="5">
        <f t="shared" si="0"/>
        <v>8</v>
      </c>
      <c r="C13" s="5">
        <f t="shared" si="0"/>
        <v>7</v>
      </c>
      <c r="D13" s="5">
        <f t="shared" si="0"/>
        <v>7</v>
      </c>
      <c r="F13" s="33" t="s">
        <v>181</v>
      </c>
    </row>
    <row r="14" spans="1:6" x14ac:dyDescent="0.25">
      <c r="A14" s="19" t="s">
        <v>179</v>
      </c>
      <c r="B14" s="5">
        <f t="shared" si="0"/>
        <v>13</v>
      </c>
      <c r="C14" s="5">
        <f t="shared" si="0"/>
        <v>25</v>
      </c>
      <c r="D14" s="5">
        <f t="shared" si="0"/>
        <v>29</v>
      </c>
      <c r="F14" s="33"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4:J33"/>
  <sheetViews>
    <sheetView workbookViewId="0">
      <selection activeCell="C33" sqref="C33"/>
    </sheetView>
  </sheetViews>
  <sheetFormatPr defaultRowHeight="13.2" x14ac:dyDescent="0.25"/>
  <cols>
    <col min="2" max="2" width="18.109375" bestFit="1" customWidth="1"/>
    <col min="3" max="3" width="12.44140625" bestFit="1" customWidth="1"/>
  </cols>
  <sheetData>
    <row r="4" spans="2:6" x14ac:dyDescent="0.25">
      <c r="B4" s="1" t="s">
        <v>302</v>
      </c>
      <c r="C4" s="1">
        <f>Basic!C53</f>
        <v>13</v>
      </c>
      <c r="D4" s="1" t="s">
        <v>308</v>
      </c>
      <c r="F4" s="33" t="s">
        <v>397</v>
      </c>
    </row>
    <row r="5" spans="2:6" x14ac:dyDescent="0.25">
      <c r="B5" s="33" t="s">
        <v>309</v>
      </c>
      <c r="C5">
        <v>1</v>
      </c>
      <c r="D5" s="33" t="s">
        <v>308</v>
      </c>
    </row>
    <row r="8" spans="2:6" x14ac:dyDescent="0.25">
      <c r="B8" s="33" t="s">
        <v>390</v>
      </c>
      <c r="C8" s="40">
        <f>Vfilt_voltage*_C4/1000</f>
        <v>0.23612517549480969</v>
      </c>
      <c r="D8" s="33" t="s">
        <v>392</v>
      </c>
    </row>
    <row r="9" spans="2:6" x14ac:dyDescent="0.25">
      <c r="B9" s="33" t="s">
        <v>391</v>
      </c>
      <c r="C9">
        <f>20*_C7/1000</f>
        <v>0.02</v>
      </c>
      <c r="D9" s="33" t="s">
        <v>392</v>
      </c>
    </row>
    <row r="10" spans="2:6" x14ac:dyDescent="0.25">
      <c r="B10" s="33" t="s">
        <v>55</v>
      </c>
      <c r="C10" s="40">
        <f>C8+C9</f>
        <v>0.25612517549480968</v>
      </c>
      <c r="D10" s="33" t="s">
        <v>392</v>
      </c>
      <c r="F10" s="33" t="s">
        <v>399</v>
      </c>
    </row>
    <row r="13" spans="2:6" x14ac:dyDescent="0.25">
      <c r="B13" s="33" t="s">
        <v>394</v>
      </c>
      <c r="C13">
        <v>9.9</v>
      </c>
      <c r="D13" s="33" t="s">
        <v>395</v>
      </c>
    </row>
    <row r="14" spans="2:6" x14ac:dyDescent="0.25">
      <c r="B14" s="33" t="s">
        <v>396</v>
      </c>
      <c r="C14" s="40">
        <f>((10-C13)*Ibus_lim_startup)/14</f>
        <v>0.18618545043347087</v>
      </c>
      <c r="D14" s="33" t="s">
        <v>398</v>
      </c>
      <c r="F14" s="33" t="s">
        <v>400</v>
      </c>
    </row>
    <row r="17" spans="2:10" ht="15" x14ac:dyDescent="0.25">
      <c r="B17" s="1" t="s">
        <v>407</v>
      </c>
      <c r="C17" s="1">
        <f>Basic!C54</f>
        <v>5</v>
      </c>
      <c r="D17" s="1" t="s">
        <v>1</v>
      </c>
    </row>
    <row r="18" spans="2:10" x14ac:dyDescent="0.25">
      <c r="B18" s="1" t="s">
        <v>401</v>
      </c>
      <c r="C18" s="135">
        <f>VLOOKUP(Fan_in_resistor,Fanin_Table[],11,FALSE)</f>
        <v>0.51451187335092352</v>
      </c>
      <c r="D18" s="1" t="s">
        <v>410</v>
      </c>
      <c r="J18" s="33" t="s">
        <v>401</v>
      </c>
    </row>
    <row r="19" spans="2:10" x14ac:dyDescent="0.25">
      <c r="B19" s="33" t="s">
        <v>402</v>
      </c>
      <c r="C19" s="40">
        <f>POWER(DIstep/1000,2)/(2*(KNX_Bus_Voltage - Coupler_Drop - 12)*Islope)*1000000</f>
        <v>3.94174903684039</v>
      </c>
      <c r="D19" s="33" t="s">
        <v>308</v>
      </c>
      <c r="F19" s="33" t="s">
        <v>403</v>
      </c>
    </row>
    <row r="22" spans="2:10" x14ac:dyDescent="0.25">
      <c r="B22" s="33" t="s">
        <v>404</v>
      </c>
      <c r="C22">
        <v>0.05</v>
      </c>
      <c r="D22" s="33" t="s">
        <v>395</v>
      </c>
    </row>
    <row r="23" spans="2:10" x14ac:dyDescent="0.25">
      <c r="B23" s="33" t="s">
        <v>402</v>
      </c>
      <c r="C23">
        <f>Ibus_lim*'C4'!C22/(KNX_Bus_Voltage-Coupler_Drop-12)</f>
        <v>9.6172573471317344E-2</v>
      </c>
      <c r="D23" s="33" t="s">
        <v>398</v>
      </c>
    </row>
    <row r="27" spans="2:10" x14ac:dyDescent="0.25">
      <c r="B27" s="33" t="s">
        <v>393</v>
      </c>
      <c r="C27" s="75">
        <f>14*_C4*1000/Ibus_lim_startup</f>
        <v>6982.2856564429594</v>
      </c>
    </row>
    <row r="28" spans="2:10" x14ac:dyDescent="0.25">
      <c r="C28" s="40"/>
    </row>
    <row r="29" spans="2:10" x14ac:dyDescent="0.25">
      <c r="B29" s="33" t="s">
        <v>405</v>
      </c>
      <c r="C29" s="40">
        <f>SQRT((2*(KNX_Bus_Voltage - Coupler_Drop - 12)*Islope)*_C4/1000000)*1000</f>
        <v>9.0802372376944032</v>
      </c>
      <c r="D29" s="33" t="s">
        <v>1</v>
      </c>
    </row>
    <row r="32" spans="2:10" x14ac:dyDescent="0.25">
      <c r="B32" s="1" t="s">
        <v>406</v>
      </c>
      <c r="C32" s="135">
        <f>POWER(DIstep/1000,2)/(2*Islope*_C4/1000000)</f>
        <v>1.8688362919132149</v>
      </c>
    </row>
    <row r="33" spans="2:4" x14ac:dyDescent="0.25">
      <c r="B33" s="33" t="s">
        <v>408</v>
      </c>
      <c r="C33" s="40">
        <f>((KNX_Bus_Voltage - Coupler_Drop - 12)*_C4)/(Ibus_lim)</f>
        <v>6.7586836510500268</v>
      </c>
      <c r="D33" s="33" t="s">
        <v>409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73</vt:i4>
      </vt:variant>
    </vt:vector>
  </HeadingPairs>
  <TitlesOfParts>
    <vt:vector size="87" baseType="lpstr">
      <vt:lpstr>Manual</vt:lpstr>
      <vt:lpstr>Basic</vt:lpstr>
      <vt:lpstr>Input_Manual</vt:lpstr>
      <vt:lpstr>BoM</vt:lpstr>
      <vt:lpstr>EIA Tables</vt:lpstr>
      <vt:lpstr>Fanin</vt:lpstr>
      <vt:lpstr>Overall efficiency</vt:lpstr>
      <vt:lpstr>Overall efficiency (2)</vt:lpstr>
      <vt:lpstr>KNX Dissipation</vt:lpstr>
      <vt:lpstr>KNXB Current Capabilities</vt:lpstr>
      <vt:lpstr>KNXB Self Consumption</vt:lpstr>
      <vt:lpstr>KNXB Bus Coupler Drop</vt:lpstr>
      <vt:lpstr>KNXB Self Heating</vt:lpstr>
      <vt:lpstr>C4</vt:lpstr>
      <vt:lpstr>_C4</vt:lpstr>
      <vt:lpstr>_C7</vt:lpstr>
      <vt:lpstr>_DC2</vt:lpstr>
      <vt:lpstr>_L1</vt:lpstr>
      <vt:lpstr>_L2</vt:lpstr>
      <vt:lpstr>_NCN5110</vt:lpstr>
      <vt:lpstr>_NCN5121</vt:lpstr>
      <vt:lpstr>_NCN5130</vt:lpstr>
      <vt:lpstr>_R2</vt:lpstr>
      <vt:lpstr>_R3</vt:lpstr>
      <vt:lpstr>_R4</vt:lpstr>
      <vt:lpstr>_R4_Real</vt:lpstr>
      <vt:lpstr>_R5</vt:lpstr>
      <vt:lpstr>_Vdd2</vt:lpstr>
      <vt:lpstr>_XClkC</vt:lpstr>
      <vt:lpstr>Communication</vt:lpstr>
      <vt:lpstr>Communication___of__0</vt:lpstr>
      <vt:lpstr>Component</vt:lpstr>
      <vt:lpstr>Coupler_Drop</vt:lpstr>
      <vt:lpstr>Current_Limit_Code</vt:lpstr>
      <vt:lpstr>Current_slew_rate</vt:lpstr>
      <vt:lpstr>CurrentSlewRate</vt:lpstr>
      <vt:lpstr>DC1_Inductor_Resistance</vt:lpstr>
      <vt:lpstr>DC1_Inductor_Value</vt:lpstr>
      <vt:lpstr>DC1_Load</vt:lpstr>
      <vt:lpstr>DC1_Sense_Resistor</vt:lpstr>
      <vt:lpstr>DC2_Enable</vt:lpstr>
      <vt:lpstr>DC2_Inductor_Resistance</vt:lpstr>
      <vt:lpstr>DC2_Inductor_Value</vt:lpstr>
      <vt:lpstr>DC2_Load</vt:lpstr>
      <vt:lpstr>DC2_Sense_Resistor</vt:lpstr>
      <vt:lpstr>DC2_Tolerance</vt:lpstr>
      <vt:lpstr>DC2_Voltage</vt:lpstr>
      <vt:lpstr>DC2ResSerie</vt:lpstr>
      <vt:lpstr>DIstep</vt:lpstr>
      <vt:lpstr>Fan_in_resistor</vt:lpstr>
      <vt:lpstr>Fanin_NCN5121</vt:lpstr>
      <vt:lpstr>fanin_resistor</vt:lpstr>
      <vt:lpstr>FaninResistor</vt:lpstr>
      <vt:lpstr>FaninTable</vt:lpstr>
      <vt:lpstr>FaninValue</vt:lpstr>
      <vt:lpstr>Graphs</vt:lpstr>
      <vt:lpstr>Ibus_current_step</vt:lpstr>
      <vt:lpstr>Ibus_lim</vt:lpstr>
      <vt:lpstr>Ibus_lim_startup</vt:lpstr>
      <vt:lpstr>IBUS_max</vt:lpstr>
      <vt:lpstr>IfTable</vt:lpstr>
      <vt:lpstr>IfType</vt:lpstr>
      <vt:lpstr>Interface</vt:lpstr>
      <vt:lpstr>Islope</vt:lpstr>
      <vt:lpstr>KNX_Bus_Voltage</vt:lpstr>
      <vt:lpstr>Mantis</vt:lpstr>
      <vt:lpstr>Output</vt:lpstr>
      <vt:lpstr>Real_DC2</vt:lpstr>
      <vt:lpstr>ResistorSeries</vt:lpstr>
      <vt:lpstr>Standby_Time</vt:lpstr>
      <vt:lpstr>Storage_and_Filter_capacitor</vt:lpstr>
      <vt:lpstr>StorageAndFilterCap</vt:lpstr>
      <vt:lpstr>System_startup_time</vt:lpstr>
      <vt:lpstr>uC_Clock_Output</vt:lpstr>
      <vt:lpstr>uCIf</vt:lpstr>
      <vt:lpstr>V20V</vt:lpstr>
      <vt:lpstr>V20V_current_limit</vt:lpstr>
      <vt:lpstr>V20V_Enable</vt:lpstr>
      <vt:lpstr>V20V_Load</vt:lpstr>
      <vt:lpstr>Variation_of_Vfilt</vt:lpstr>
      <vt:lpstr>VBUS_Validation</vt:lpstr>
      <vt:lpstr>VBUS1_Voltage</vt:lpstr>
      <vt:lpstr>Vdd2_Real</vt:lpstr>
      <vt:lpstr>Vfilt_voltage</vt:lpstr>
      <vt:lpstr>XClkC</vt:lpstr>
      <vt:lpstr>Xtal</vt:lpstr>
      <vt:lpstr>Xtal_Enabled</vt:lpstr>
    </vt:vector>
  </TitlesOfParts>
  <Company>AMI Semiconductor,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Georgi Georgiev</dc:creator>
  <cp:lastModifiedBy>Tijl Schepens</cp:lastModifiedBy>
  <cp:lastPrinted>2018-12-13T09:21:08Z</cp:lastPrinted>
  <dcterms:created xsi:type="dcterms:W3CDTF">2009-02-05T11:10:19Z</dcterms:created>
  <dcterms:modified xsi:type="dcterms:W3CDTF">2018-12-13T15:55:12Z</dcterms:modified>
</cp:coreProperties>
</file>